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тарифи" sheetId="1" r:id="rId1"/>
    <sheet name="штатка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O27" i="2"/>
  <c r="K27"/>
  <c r="Q26"/>
  <c r="N26"/>
  <c r="L26"/>
  <c r="N25"/>
  <c r="L25"/>
  <c r="Q25" s="1"/>
  <c r="R25" s="1"/>
  <c r="N24"/>
  <c r="L24"/>
  <c r="Q24" s="1"/>
  <c r="R24" s="1"/>
  <c r="P23"/>
  <c r="L23"/>
  <c r="Q23" s="1"/>
  <c r="L22"/>
  <c r="Q21"/>
  <c r="N21"/>
  <c r="L21"/>
  <c r="N20"/>
  <c r="L20"/>
  <c r="Q20" s="1"/>
  <c r="R20" s="1"/>
  <c r="M19"/>
  <c r="S19" s="1"/>
  <c r="L19"/>
  <c r="N18"/>
  <c r="L18"/>
  <c r="Q18" s="1"/>
  <c r="R18" s="1"/>
  <c r="M17"/>
  <c r="S17" s="1"/>
  <c r="L17"/>
  <c r="N17" s="1"/>
  <c r="M16"/>
  <c r="S16" s="1"/>
  <c r="L16"/>
  <c r="N16" s="1"/>
  <c r="M15"/>
  <c r="S15" s="1"/>
  <c r="L15"/>
  <c r="N15" s="1"/>
  <c r="M14"/>
  <c r="S14" s="1"/>
  <c r="L14"/>
  <c r="N14" s="1"/>
  <c r="M13"/>
  <c r="S13" s="1"/>
  <c r="L13"/>
  <c r="N13" s="1"/>
  <c r="M12"/>
  <c r="S12" s="1"/>
  <c r="L12"/>
  <c r="N12" s="1"/>
  <c r="M11"/>
  <c r="M27" s="1"/>
  <c r="L11"/>
  <c r="L27" s="1"/>
  <c r="AP36" i="1"/>
  <c r="AO36"/>
  <c r="AL36"/>
  <c r="AK36"/>
  <c r="AJ36"/>
  <c r="AI36"/>
  <c r="AG36"/>
  <c r="AF36"/>
  <c r="AE36"/>
  <c r="AD36"/>
  <c r="AC36"/>
  <c r="AB36"/>
  <c r="AA36"/>
  <c r="Z36"/>
  <c r="Y36"/>
  <c r="X36"/>
  <c r="W36"/>
  <c r="V36"/>
  <c r="P36"/>
  <c r="O36"/>
  <c r="N36"/>
  <c r="L36"/>
  <c r="AN35"/>
  <c r="AQ35" s="1"/>
  <c r="J35"/>
  <c r="S35" s="1"/>
  <c r="AN34"/>
  <c r="AQ34" s="1"/>
  <c r="K34"/>
  <c r="R34" s="1"/>
  <c r="J34"/>
  <c r="AQ33"/>
  <c r="AN33"/>
  <c r="S33"/>
  <c r="K33"/>
  <c r="R33" s="1"/>
  <c r="J33"/>
  <c r="AQ32"/>
  <c r="AN32"/>
  <c r="S32"/>
  <c r="K32"/>
  <c r="R32" s="1"/>
  <c r="J32"/>
  <c r="AQ31"/>
  <c r="AN31"/>
  <c r="S31"/>
  <c r="K31"/>
  <c r="Q31" s="1"/>
  <c r="J31"/>
  <c r="AQ30"/>
  <c r="AN30"/>
  <c r="S30"/>
  <c r="K30"/>
  <c r="R30" s="1"/>
  <c r="J30"/>
  <c r="AQ29"/>
  <c r="AN29"/>
  <c r="S29"/>
  <c r="K29"/>
  <c r="R29" s="1"/>
  <c r="J29"/>
  <c r="AQ28"/>
  <c r="AN28"/>
  <c r="S28"/>
  <c r="K28"/>
  <c r="R28" s="1"/>
  <c r="J28"/>
  <c r="AN27"/>
  <c r="J27"/>
  <c r="S27" s="1"/>
  <c r="AN26"/>
  <c r="AQ26" s="1"/>
  <c r="K26"/>
  <c r="R26" s="1"/>
  <c r="J26"/>
  <c r="AN25"/>
  <c r="J25"/>
  <c r="S25" s="1"/>
  <c r="AN24"/>
  <c r="J24"/>
  <c r="K24" s="1"/>
  <c r="AN23"/>
  <c r="AQ23" s="1"/>
  <c r="J23"/>
  <c r="S23" s="1"/>
  <c r="AN22"/>
  <c r="AQ22" s="1"/>
  <c r="J22"/>
  <c r="S22" s="1"/>
  <c r="AN21"/>
  <c r="AQ21" s="1"/>
  <c r="K21"/>
  <c r="R21" s="1"/>
  <c r="J21"/>
  <c r="AQ20"/>
  <c r="AN20"/>
  <c r="S20"/>
  <c r="K20"/>
  <c r="Q20" s="1"/>
  <c r="J20"/>
  <c r="AQ19"/>
  <c r="AN19"/>
  <c r="S19"/>
  <c r="K19"/>
  <c r="R19" s="1"/>
  <c r="J19"/>
  <c r="AQ18"/>
  <c r="AN18"/>
  <c r="AN36" s="1"/>
  <c r="J18"/>
  <c r="M18" s="1"/>
  <c r="U9"/>
  <c r="U8"/>
  <c r="U7"/>
  <c r="T6"/>
  <c r="S6"/>
  <c r="U6" s="1"/>
  <c r="R6"/>
  <c r="U5"/>
  <c r="U4"/>
  <c r="U3"/>
  <c r="U2"/>
  <c r="Q12" i="2" l="1"/>
  <c r="R12" s="1"/>
  <c r="Q13"/>
  <c r="R13" s="1"/>
  <c r="Q14"/>
  <c r="R14" s="1"/>
  <c r="Q15"/>
  <c r="R15" s="1"/>
  <c r="Q16"/>
  <c r="R16" s="1"/>
  <c r="Q17"/>
  <c r="R17" s="1"/>
  <c r="S11"/>
  <c r="S27" s="1"/>
  <c r="Q19"/>
  <c r="R19" s="1"/>
  <c r="Q22"/>
  <c r="R22" s="1"/>
  <c r="R23"/>
  <c r="N11"/>
  <c r="N19"/>
  <c r="P21"/>
  <c r="N22"/>
  <c r="N23"/>
  <c r="P26"/>
  <c r="R26" s="1"/>
  <c r="R24" i="1"/>
  <c r="Q24"/>
  <c r="M24"/>
  <c r="S36"/>
  <c r="Q19"/>
  <c r="Q21"/>
  <c r="Q26"/>
  <c r="Q28"/>
  <c r="Q29"/>
  <c r="Q30"/>
  <c r="Q32"/>
  <c r="Q33"/>
  <c r="Q34"/>
  <c r="J36"/>
  <c r="K18"/>
  <c r="M19"/>
  <c r="M20"/>
  <c r="T20" s="1"/>
  <c r="R20"/>
  <c r="U20" s="1"/>
  <c r="M21"/>
  <c r="T21" s="1"/>
  <c r="K22"/>
  <c r="K23"/>
  <c r="K25"/>
  <c r="M26"/>
  <c r="T26" s="1"/>
  <c r="K27"/>
  <c r="M28"/>
  <c r="T28" s="1"/>
  <c r="M29"/>
  <c r="M30"/>
  <c r="T30" s="1"/>
  <c r="M31"/>
  <c r="R31"/>
  <c r="M32"/>
  <c r="M33"/>
  <c r="T33" s="1"/>
  <c r="M34"/>
  <c r="K35"/>
  <c r="N27" i="2" l="1"/>
  <c r="R11"/>
  <c r="R27" s="1"/>
  <c r="Q11"/>
  <c r="Q27" s="1"/>
  <c r="P27"/>
  <c r="R21"/>
  <c r="AR20" i="1"/>
  <c r="AS20" s="1"/>
  <c r="Q27"/>
  <c r="R27"/>
  <c r="M27"/>
  <c r="M25"/>
  <c r="Q25"/>
  <c r="R25"/>
  <c r="R22"/>
  <c r="Q22"/>
  <c r="M22"/>
  <c r="U33"/>
  <c r="AR33" s="1"/>
  <c r="AS33" s="1"/>
  <c r="AR30"/>
  <c r="AS30" s="1"/>
  <c r="U30"/>
  <c r="U28"/>
  <c r="AR28" s="1"/>
  <c r="AS28" s="1"/>
  <c r="U21"/>
  <c r="AR21" s="1"/>
  <c r="AS21" s="1"/>
  <c r="T34"/>
  <c r="U34" s="1"/>
  <c r="AR34" s="1"/>
  <c r="AS34" s="1"/>
  <c r="T32"/>
  <c r="T31"/>
  <c r="U31" s="1"/>
  <c r="T29"/>
  <c r="T19"/>
  <c r="U19" s="1"/>
  <c r="AR19" s="1"/>
  <c r="AS19" s="1"/>
  <c r="T24"/>
  <c r="Q35"/>
  <c r="R35"/>
  <c r="M35"/>
  <c r="T35" s="1"/>
  <c r="R23"/>
  <c r="Q23"/>
  <c r="M23"/>
  <c r="R18"/>
  <c r="R36" s="1"/>
  <c r="K36"/>
  <c r="Q18"/>
  <c r="U32"/>
  <c r="AR32" s="1"/>
  <c r="AS32" s="1"/>
  <c r="U29"/>
  <c r="AR29" s="1"/>
  <c r="AS29" s="1"/>
  <c r="U26"/>
  <c r="AR26"/>
  <c r="AS26" s="1"/>
  <c r="AH24"/>
  <c r="R29" i="2" l="1"/>
  <c r="AQ24" i="1"/>
  <c r="U18"/>
  <c r="Q36"/>
  <c r="AR18"/>
  <c r="T18"/>
  <c r="U35"/>
  <c r="AR35" s="1"/>
  <c r="AS35" s="1"/>
  <c r="U22"/>
  <c r="T25"/>
  <c r="U25" s="1"/>
  <c r="U24"/>
  <c r="AR24" s="1"/>
  <c r="AS24" s="1"/>
  <c r="T23"/>
  <c r="M36"/>
  <c r="AR31"/>
  <c r="AS31" s="1"/>
  <c r="T22"/>
  <c r="AR22" s="1"/>
  <c r="AS22" s="1"/>
  <c r="T27"/>
  <c r="AS18" l="1"/>
  <c r="U27"/>
  <c r="AR27" s="1"/>
  <c r="AS27" s="1"/>
  <c r="AH25"/>
  <c r="U23"/>
  <c r="U36" s="1"/>
  <c r="AH27"/>
  <c r="AQ27" s="1"/>
  <c r="T36"/>
  <c r="AQ25" l="1"/>
  <c r="AQ36" s="1"/>
  <c r="AH36"/>
  <c r="AR41" s="1"/>
  <c r="AR23"/>
  <c r="AR25"/>
  <c r="AS25" s="1"/>
  <c r="AS23" l="1"/>
  <c r="AS36" s="1"/>
  <c r="AR36"/>
</calcChain>
</file>

<file path=xl/sharedStrings.xml><?xml version="1.0" encoding="utf-8"?>
<sst xmlns="http://schemas.openxmlformats.org/spreadsheetml/2006/main" count="207" uniqueCount="138">
  <si>
    <t>Показатели на 1.09.2020 г.</t>
  </si>
  <si>
    <t xml:space="preserve"> 1-4</t>
  </si>
  <si>
    <t xml:space="preserve"> 5-9</t>
  </si>
  <si>
    <t xml:space="preserve"> 10-11</t>
  </si>
  <si>
    <t>Итого</t>
  </si>
  <si>
    <t>УТВЕРЖДАЮ</t>
  </si>
  <si>
    <t>Число классов</t>
  </si>
  <si>
    <t>Руководитель отдела                                         Садуов К.Г</t>
  </si>
  <si>
    <t>число класс,комп</t>
  </si>
  <si>
    <t>число уч-ся</t>
  </si>
  <si>
    <t>Число часов по уч. Плану</t>
  </si>
  <si>
    <t>Общее число часов по тарифик.</t>
  </si>
  <si>
    <t>Вариативная часть</t>
  </si>
  <si>
    <t>ТАРИФИКАЦИОННЫЙ СПИСОК НА 1 сентября   2020 года</t>
  </si>
  <si>
    <t>дел. Кл</t>
  </si>
  <si>
    <t>Кенащинская ОШ</t>
  </si>
  <si>
    <t>м/ц,0кл</t>
  </si>
  <si>
    <t>№п/п</t>
  </si>
  <si>
    <t>Фамилия Имя Отчество</t>
  </si>
  <si>
    <t>образование,    категория</t>
  </si>
  <si>
    <t>должность</t>
  </si>
  <si>
    <t>категория</t>
  </si>
  <si>
    <t>Стаж</t>
  </si>
  <si>
    <t>Ступень</t>
  </si>
  <si>
    <t>Коэфициент</t>
  </si>
  <si>
    <t>БДО</t>
  </si>
  <si>
    <t>месячная ставка</t>
  </si>
  <si>
    <t>число час.недельн</t>
  </si>
  <si>
    <t>з/плата в месяц</t>
  </si>
  <si>
    <t xml:space="preserve">  число час.недельн</t>
  </si>
  <si>
    <t xml:space="preserve">надбавка 10% </t>
  </si>
  <si>
    <t>доплата за проверку тетрадей</t>
  </si>
  <si>
    <t>Доплаты</t>
  </si>
  <si>
    <t>за веден.уч.кабинет</t>
  </si>
  <si>
    <t>за вредность 40%</t>
  </si>
  <si>
    <t>за квалификацию педагогического мастерства</t>
  </si>
  <si>
    <t>3-х уровневые курсы</t>
  </si>
  <si>
    <t>за обновленное содержание образования</t>
  </si>
  <si>
    <t>языковые курсы</t>
  </si>
  <si>
    <t>Итого по ЦТ (республиканский бюджет)</t>
  </si>
  <si>
    <t>итого педагог. зарплата</t>
  </si>
  <si>
    <t>ИТОГО заработная плата в мес</t>
  </si>
  <si>
    <t>увел на 25%</t>
  </si>
  <si>
    <t>Предшкольные классы</t>
  </si>
  <si>
    <t>1-4</t>
  </si>
  <si>
    <t>5-9</t>
  </si>
  <si>
    <t>10-11</t>
  </si>
  <si>
    <t>кол-во часов</t>
  </si>
  <si>
    <t>сумма</t>
  </si>
  <si>
    <t>Классное руководство</t>
  </si>
  <si>
    <t>педагог-мастер 50 %</t>
  </si>
  <si>
    <t>педагог-исследователь 40 %</t>
  </si>
  <si>
    <t>педагог-эксперт 35 %</t>
  </si>
  <si>
    <t>педагог-модератор 30 %</t>
  </si>
  <si>
    <t>30%</t>
  </si>
  <si>
    <t>70%</t>
  </si>
  <si>
    <t>100%</t>
  </si>
  <si>
    <t>преподавание физики, химии, биологии, информатики на английском языке</t>
  </si>
  <si>
    <t>за замещение на период обучения основного сотрудника</t>
  </si>
  <si>
    <t>5-11</t>
  </si>
  <si>
    <t>высшее</t>
  </si>
  <si>
    <t>уч.каз.яз.</t>
  </si>
  <si>
    <t>В2-1</t>
  </si>
  <si>
    <t>уч. Музыки/самопо</t>
  </si>
  <si>
    <t>В2-2</t>
  </si>
  <si>
    <t>уч.математики</t>
  </si>
  <si>
    <t>уч.инфо</t>
  </si>
  <si>
    <t>В2-4</t>
  </si>
  <si>
    <t>уч.физики</t>
  </si>
  <si>
    <t>уч.нач.кл</t>
  </si>
  <si>
    <t>уч.химии и биологии</t>
  </si>
  <si>
    <t>английский</t>
  </si>
  <si>
    <t>уч.истории</t>
  </si>
  <si>
    <t>В2-3</t>
  </si>
  <si>
    <t>уч.геогр</t>
  </si>
  <si>
    <t>воспитатель</t>
  </si>
  <si>
    <t>учрусск</t>
  </si>
  <si>
    <t>уч.физкультуры</t>
  </si>
  <si>
    <t>уч.техно</t>
  </si>
  <si>
    <t>итого</t>
  </si>
  <si>
    <t xml:space="preserve">Гл.бухгалтер </t>
  </si>
  <si>
    <t>Отдел кадра</t>
  </si>
  <si>
    <t>Гл экономист</t>
  </si>
  <si>
    <t>Директор школы</t>
  </si>
  <si>
    <t>"Утверждаю"</t>
  </si>
  <si>
    <t>Руководитель РОО __________</t>
  </si>
  <si>
    <t>Штатное расписание административно- технического персонала</t>
  </si>
  <si>
    <t xml:space="preserve">     Кенащынская ОШ на 1 сентября 2020 года</t>
  </si>
  <si>
    <t>8 кл- комплектов</t>
  </si>
  <si>
    <t>№пп</t>
  </si>
  <si>
    <t>Фамилия,имя</t>
  </si>
  <si>
    <t>Должность</t>
  </si>
  <si>
    <t>образование</t>
  </si>
  <si>
    <t>стаж</t>
  </si>
  <si>
    <t>катег.</t>
  </si>
  <si>
    <t>звен</t>
  </si>
  <si>
    <t>ступ</t>
  </si>
  <si>
    <t>Коэфиц.</t>
  </si>
  <si>
    <t>кол-во</t>
  </si>
  <si>
    <t>оклад</t>
  </si>
  <si>
    <t>надбавка</t>
  </si>
  <si>
    <t>прочие</t>
  </si>
  <si>
    <t>Оклад</t>
  </si>
  <si>
    <t>леч</t>
  </si>
  <si>
    <t>отчество</t>
  </si>
  <si>
    <t>штат,</t>
  </si>
  <si>
    <t>25%с/х</t>
  </si>
  <si>
    <t>РБ</t>
  </si>
  <si>
    <t>с надб,</t>
  </si>
  <si>
    <t xml:space="preserve">Директор </t>
  </si>
  <si>
    <t>А1</t>
  </si>
  <si>
    <t>3-1</t>
  </si>
  <si>
    <t>завуч</t>
  </si>
  <si>
    <t>организатор</t>
  </si>
  <si>
    <t>психолог</t>
  </si>
  <si>
    <t>В2</t>
  </si>
  <si>
    <t>соцпедагог</t>
  </si>
  <si>
    <t>В3</t>
  </si>
  <si>
    <t>вожатая</t>
  </si>
  <si>
    <t>лаборант</t>
  </si>
  <si>
    <t>ср.спец</t>
  </si>
  <si>
    <t>В4</t>
  </si>
  <si>
    <t>делопроизводитель</t>
  </si>
  <si>
    <t>Д</t>
  </si>
  <si>
    <t>библиотекарь</t>
  </si>
  <si>
    <t>С</t>
  </si>
  <si>
    <t>завхоз</t>
  </si>
  <si>
    <t>С3</t>
  </si>
  <si>
    <t>сторож</t>
  </si>
  <si>
    <t>1раз</t>
  </si>
  <si>
    <t>рабочий</t>
  </si>
  <si>
    <t>2раз</t>
  </si>
  <si>
    <t>техничка</t>
  </si>
  <si>
    <t>гардеробщик</t>
  </si>
  <si>
    <t>вахтер</t>
  </si>
  <si>
    <t>истопник</t>
  </si>
  <si>
    <t>Гл бухгалтер</t>
  </si>
  <si>
    <t>Отдел кадров</t>
  </si>
</sst>
</file>

<file path=xl/styles.xml><?xml version="1.0" encoding="utf-8"?>
<styleSheet xmlns="http://schemas.openxmlformats.org/spreadsheetml/2006/main">
  <numFmts count="3">
    <numFmt numFmtId="44" formatCode="_-* #,##0.00\ &quot;₽&quot;_-;\-* #,##0.00\ &quot;₽&quot;_-;_-* &quot;-&quot;??\ &quot;₽&quot;_-;_-@_-"/>
    <numFmt numFmtId="164" formatCode="_-* #,##0.00&quot;т.&quot;_-;\-* #,##0.00&quot;т.&quot;_-;_-* &quot;-&quot;??&quot;т.&quot;_-;_-@_-"/>
    <numFmt numFmtId="165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color rgb="FFFF0000"/>
      <name val="Arial Cyr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8"/>
      <name val="Arial Cyr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0"/>
      <name val="Times New Roman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74">
    <xf numFmtId="0" fontId="0" fillId="0" borderId="0" xfId="0"/>
    <xf numFmtId="0" fontId="2" fillId="0" borderId="0" xfId="0" applyFont="1"/>
    <xf numFmtId="0" fontId="2" fillId="2" borderId="0" xfId="0" applyFont="1" applyFill="1"/>
    <xf numFmtId="0" fontId="4" fillId="2" borderId="1" xfId="2" applyFont="1" applyFill="1" applyBorder="1" applyAlignment="1">
      <alignment horizontal="left"/>
    </xf>
    <xf numFmtId="0" fontId="4" fillId="2" borderId="2" xfId="2" applyFont="1" applyFill="1" applyBorder="1" applyAlignment="1">
      <alignment horizontal="center"/>
    </xf>
    <xf numFmtId="16" fontId="4" fillId="2" borderId="3" xfId="2" applyNumberFormat="1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0" borderId="0" xfId="0" applyFont="1"/>
    <xf numFmtId="0" fontId="4" fillId="2" borderId="2" xfId="2" applyFont="1" applyFill="1" applyBorder="1" applyAlignment="1">
      <alignment horizontal="left"/>
    </xf>
    <xf numFmtId="0" fontId="4" fillId="2" borderId="3" xfId="2" applyFont="1" applyFill="1" applyBorder="1"/>
    <xf numFmtId="0" fontId="4" fillId="2" borderId="4" xfId="2" applyFont="1" applyFill="1" applyBorder="1" applyAlignment="1">
      <alignment horizontal="left"/>
    </xf>
    <xf numFmtId="0" fontId="4" fillId="2" borderId="5" xfId="2" applyFont="1" applyFill="1" applyBorder="1" applyAlignment="1">
      <alignment horizontal="left"/>
    </xf>
    <xf numFmtId="0" fontId="2" fillId="0" borderId="1" xfId="0" applyFont="1" applyBorder="1"/>
    <xf numFmtId="0" fontId="2" fillId="0" borderId="2" xfId="0" applyFont="1" applyBorder="1"/>
    <xf numFmtId="0" fontId="2" fillId="0" borderId="6" xfId="0" applyFont="1" applyBorder="1"/>
    <xf numFmtId="0" fontId="2" fillId="0" borderId="3" xfId="0" applyFont="1" applyBorder="1"/>
    <xf numFmtId="164" fontId="2" fillId="2" borderId="0" xfId="1" applyNumberFormat="1" applyFont="1" applyFill="1"/>
    <xf numFmtId="164" fontId="4" fillId="2" borderId="7" xfId="1" applyNumberFormat="1" applyFont="1" applyFill="1" applyBorder="1" applyAlignment="1">
      <alignment horizontal="left"/>
    </xf>
    <xf numFmtId="164" fontId="4" fillId="2" borderId="8" xfId="1" applyNumberFormat="1" applyFont="1" applyFill="1" applyBorder="1" applyAlignment="1">
      <alignment horizontal="left"/>
    </xf>
    <xf numFmtId="0" fontId="4" fillId="2" borderId="3" xfId="1" applyNumberFormat="1" applyFont="1" applyFill="1" applyBorder="1" applyAlignment="1">
      <alignment horizontal="center"/>
    </xf>
    <xf numFmtId="164" fontId="6" fillId="0" borderId="0" xfId="1" applyNumberFormat="1" applyFont="1"/>
    <xf numFmtId="0" fontId="6" fillId="0" borderId="0" xfId="0" applyFont="1"/>
    <xf numFmtId="164" fontId="2" fillId="0" borderId="0" xfId="1" applyNumberFormat="1" applyFont="1"/>
    <xf numFmtId="0" fontId="7" fillId="2" borderId="3" xfId="2" applyFont="1" applyFill="1" applyBorder="1" applyAlignment="1">
      <alignment horizontal="center"/>
    </xf>
    <xf numFmtId="0" fontId="4" fillId="2" borderId="9" xfId="2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5" fillId="2" borderId="0" xfId="0" applyFont="1" applyFill="1"/>
    <xf numFmtId="0" fontId="4" fillId="2" borderId="2" xfId="2" applyFont="1" applyFill="1" applyBorder="1"/>
    <xf numFmtId="0" fontId="4" fillId="2" borderId="6" xfId="2" applyFont="1" applyFill="1" applyBorder="1"/>
    <xf numFmtId="0" fontId="4" fillId="2" borderId="6" xfId="2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0" xfId="0" applyFont="1" applyFill="1"/>
    <xf numFmtId="49" fontId="8" fillId="0" borderId="11" xfId="0" applyNumberFormat="1" applyFont="1" applyBorder="1" applyAlignment="1" applyProtection="1">
      <alignment horizontal="center" vertical="center" textRotation="90" wrapText="1"/>
      <protection locked="0"/>
    </xf>
    <xf numFmtId="49" fontId="8" fillId="0" borderId="12" xfId="0" applyNumberFormat="1" applyFont="1" applyBorder="1" applyAlignment="1" applyProtection="1">
      <alignment horizontal="center" wrapText="1"/>
      <protection locked="0"/>
    </xf>
    <xf numFmtId="0" fontId="8" fillId="0" borderId="17" xfId="0" applyFont="1" applyBorder="1" applyAlignment="1">
      <alignment horizontal="center" vertical="center" wrapText="1"/>
    </xf>
    <xf numFmtId="49" fontId="8" fillId="0" borderId="20" xfId="0" applyNumberFormat="1" applyFont="1" applyBorder="1" applyAlignment="1" applyProtection="1">
      <alignment horizontal="center" vertical="center" textRotation="90" wrapText="1"/>
      <protection locked="0"/>
    </xf>
    <xf numFmtId="1" fontId="8" fillId="0" borderId="20" xfId="0" applyNumberFormat="1" applyFont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 applyProtection="1">
      <alignment horizontal="center" vertical="center"/>
      <protection locked="0"/>
    </xf>
    <xf numFmtId="0" fontId="8" fillId="4" borderId="3" xfId="0" applyFont="1" applyFill="1" applyBorder="1" applyAlignment="1" applyProtection="1">
      <alignment horizontal="center" vertical="center" wrapText="1"/>
      <protection locked="0"/>
    </xf>
    <xf numFmtId="0" fontId="4" fillId="2" borderId="3" xfId="0" applyFont="1" applyFill="1" applyBorder="1" applyAlignment="1" applyProtection="1">
      <alignment horizontal="right" vertical="center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center" vertical="center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/>
    <xf numFmtId="1" fontId="2" fillId="2" borderId="3" xfId="0" applyNumberFormat="1" applyFont="1" applyFill="1" applyBorder="1"/>
    <xf numFmtId="1" fontId="2" fillId="0" borderId="25" xfId="0" applyNumberFormat="1" applyFont="1" applyBorder="1"/>
    <xf numFmtId="0" fontId="2" fillId="0" borderId="25" xfId="0" applyFont="1" applyBorder="1"/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1" fontId="2" fillId="0" borderId="25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1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/>
    <xf numFmtId="1" fontId="2" fillId="0" borderId="3" xfId="0" applyNumberFormat="1" applyFont="1" applyBorder="1"/>
    <xf numFmtId="0" fontId="2" fillId="0" borderId="3" xfId="0" applyFont="1" applyBorder="1" applyAlignment="1">
      <alignment horizontal="right"/>
    </xf>
    <xf numFmtId="0" fontId="9" fillId="2" borderId="3" xfId="2" applyFont="1" applyFill="1" applyBorder="1"/>
    <xf numFmtId="0" fontId="10" fillId="2" borderId="3" xfId="0" applyFont="1" applyFill="1" applyBorder="1"/>
    <xf numFmtId="2" fontId="2" fillId="2" borderId="3" xfId="0" applyNumberFormat="1" applyFont="1" applyFill="1" applyBorder="1"/>
    <xf numFmtId="0" fontId="2" fillId="3" borderId="3" xfId="0" applyFont="1" applyFill="1" applyBorder="1"/>
    <xf numFmtId="0" fontId="9" fillId="5" borderId="17" xfId="2" applyFont="1" applyFill="1" applyBorder="1" applyAlignment="1">
      <alignment vertical="center"/>
    </xf>
    <xf numFmtId="0" fontId="10" fillId="0" borderId="3" xfId="0" applyFont="1" applyBorder="1"/>
    <xf numFmtId="2" fontId="2" fillId="0" borderId="3" xfId="0" applyNumberFormat="1" applyFont="1" applyBorder="1"/>
    <xf numFmtId="0" fontId="9" fillId="5" borderId="3" xfId="2" applyFont="1" applyFill="1" applyBorder="1" applyAlignment="1">
      <alignment vertical="center"/>
    </xf>
    <xf numFmtId="0" fontId="9" fillId="2" borderId="3" xfId="2" applyFont="1" applyFill="1" applyBorder="1" applyAlignment="1">
      <alignment vertical="center"/>
    </xf>
    <xf numFmtId="0" fontId="11" fillId="2" borderId="3" xfId="0" applyFont="1" applyFill="1" applyBorder="1"/>
    <xf numFmtId="0" fontId="12" fillId="2" borderId="3" xfId="0" applyNumberFormat="1" applyFont="1" applyFill="1" applyBorder="1"/>
    <xf numFmtId="0" fontId="12" fillId="2" borderId="3" xfId="0" applyFont="1" applyFill="1" applyBorder="1"/>
    <xf numFmtId="0" fontId="5" fillId="0" borderId="3" xfId="0" applyFont="1" applyBorder="1"/>
    <xf numFmtId="0" fontId="0" fillId="2" borderId="0" xfId="0" applyFill="1"/>
    <xf numFmtId="0" fontId="0" fillId="3" borderId="0" xfId="0" applyFill="1"/>
    <xf numFmtId="0" fontId="4" fillId="2" borderId="3" xfId="0" applyFont="1" applyFill="1" applyBorder="1" applyAlignment="1" applyProtection="1">
      <alignment horizontal="right" vertical="center" wrapText="1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9" fillId="5" borderId="3" xfId="2" applyFont="1" applyFill="1" applyBorder="1"/>
    <xf numFmtId="49" fontId="8" fillId="0" borderId="3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20" xfId="0" applyNumberFormat="1" applyFont="1" applyBorder="1" applyAlignment="1" applyProtection="1">
      <alignment horizontal="center" vertical="center" textRotation="90" wrapText="1"/>
      <protection locked="0"/>
    </xf>
    <xf numFmtId="0" fontId="8" fillId="0" borderId="9" xfId="0" applyFont="1" applyBorder="1" applyAlignment="1">
      <alignment wrapText="1"/>
    </xf>
    <xf numFmtId="0" fontId="8" fillId="0" borderId="20" xfId="0" applyFont="1" applyBorder="1" applyAlignment="1">
      <alignment wrapText="1"/>
    </xf>
    <xf numFmtId="49" fontId="8" fillId="0" borderId="9" xfId="0" applyNumberFormat="1" applyFont="1" applyBorder="1" applyAlignment="1" applyProtection="1">
      <alignment horizontal="center" vertical="center" wrapText="1"/>
      <protection locked="0"/>
    </xf>
    <xf numFmtId="49" fontId="8" fillId="0" borderId="20" xfId="0" applyNumberFormat="1" applyFont="1" applyBorder="1" applyAlignment="1" applyProtection="1">
      <alignment horizontal="center" vertical="center" wrapText="1"/>
      <protection locked="0"/>
    </xf>
    <xf numFmtId="1" fontId="8" fillId="0" borderId="9" xfId="0" applyNumberFormat="1" applyFont="1" applyBorder="1" applyAlignment="1" applyProtection="1">
      <alignment horizontal="center" vertical="center" wrapText="1"/>
      <protection locked="0"/>
    </xf>
    <xf numFmtId="1" fontId="8" fillId="0" borderId="20" xfId="0" applyNumberFormat="1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 applyProtection="1">
      <alignment horizontal="center" vertical="center" textRotation="90" wrapText="1"/>
      <protection locked="0"/>
    </xf>
    <xf numFmtId="0" fontId="8" fillId="0" borderId="22" xfId="0" applyFont="1" applyBorder="1" applyAlignment="1" applyProtection="1">
      <alignment horizontal="center" vertical="center" textRotation="90" wrapText="1"/>
      <protection locked="0"/>
    </xf>
    <xf numFmtId="49" fontId="8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20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 wrapText="1"/>
      <protection locked="0"/>
    </xf>
    <xf numFmtId="49" fontId="8" fillId="0" borderId="23" xfId="0" applyNumberFormat="1" applyFont="1" applyBorder="1" applyAlignment="1" applyProtection="1">
      <alignment horizontal="center" vertical="center" wrapText="1"/>
      <protection locked="0"/>
    </xf>
    <xf numFmtId="49" fontId="8" fillId="0" borderId="4" xfId="0" applyNumberFormat="1" applyFont="1" applyBorder="1" applyAlignment="1" applyProtection="1">
      <alignment horizontal="center" vertical="center"/>
      <protection locked="0"/>
    </xf>
    <xf numFmtId="49" fontId="8" fillId="0" borderId="5" xfId="0" applyNumberFormat="1" applyFont="1" applyBorder="1" applyAlignment="1" applyProtection="1">
      <alignment horizontal="center" vertical="center"/>
      <protection locked="0"/>
    </xf>
    <xf numFmtId="49" fontId="8" fillId="0" borderId="17" xfId="0" applyNumberFormat="1" applyFont="1" applyBorder="1" applyAlignment="1" applyProtection="1">
      <alignment horizontal="center" vertical="center"/>
      <protection locked="0"/>
    </xf>
    <xf numFmtId="49" fontId="8" fillId="0" borderId="7" xfId="0" applyNumberFormat="1" applyFont="1" applyBorder="1" applyAlignment="1" applyProtection="1">
      <alignment horizontal="center" vertical="center"/>
      <protection locked="0"/>
    </xf>
    <xf numFmtId="49" fontId="8" fillId="0" borderId="8" xfId="0" applyNumberFormat="1" applyFont="1" applyBorder="1" applyAlignment="1" applyProtection="1">
      <alignment horizontal="center" vertical="center"/>
      <protection locked="0"/>
    </xf>
    <xf numFmtId="49" fontId="8" fillId="0" borderId="24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wrapText="1"/>
    </xf>
    <xf numFmtId="0" fontId="8" fillId="0" borderId="20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" fontId="8" fillId="0" borderId="15" xfId="0" applyNumberFormat="1" applyFont="1" applyBorder="1" applyAlignment="1" applyProtection="1">
      <alignment horizontal="center" vertical="center" textRotation="90" wrapText="1"/>
      <protection locked="0"/>
    </xf>
    <xf numFmtId="1" fontId="8" fillId="0" borderId="21" xfId="0" applyNumberFormat="1" applyFont="1" applyBorder="1" applyAlignment="1" applyProtection="1">
      <alignment horizontal="center" vertical="center" textRotation="90" wrapText="1"/>
      <protection locked="0"/>
    </xf>
    <xf numFmtId="0" fontId="8" fillId="0" borderId="20" xfId="0" applyFont="1" applyBorder="1" applyAlignment="1">
      <alignment horizontal="center" vertical="center" wrapText="1"/>
    </xf>
    <xf numFmtId="9" fontId="2" fillId="0" borderId="15" xfId="0" applyNumberFormat="1" applyFont="1" applyBorder="1" applyAlignment="1">
      <alignment horizontal="center" vertical="center" wrapText="1"/>
    </xf>
    <xf numFmtId="9" fontId="2" fillId="0" borderId="21" xfId="0" applyNumberFormat="1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16" xfId="0" applyFont="1" applyBorder="1" applyAlignment="1" applyProtection="1">
      <alignment horizontal="center" vertical="center" textRotation="90" wrapText="1"/>
      <protection locked="0"/>
    </xf>
    <xf numFmtId="0" fontId="8" fillId="0" borderId="0" xfId="0" applyFont="1" applyBorder="1" applyAlignment="1" applyProtection="1">
      <alignment horizontal="center" vertical="center" textRotation="90" wrapText="1"/>
      <protection locked="0"/>
    </xf>
    <xf numFmtId="49" fontId="8" fillId="0" borderId="13" xfId="0" applyNumberFormat="1" applyFont="1" applyBorder="1" applyAlignment="1" applyProtection="1">
      <alignment horizontal="center" vertical="center"/>
      <protection locked="0"/>
    </xf>
    <xf numFmtId="49" fontId="8" fillId="0" borderId="14" xfId="0" applyNumberFormat="1" applyFont="1" applyBorder="1" applyAlignment="1" applyProtection="1">
      <alignment horizontal="center" vertical="center"/>
      <protection locked="0"/>
    </xf>
    <xf numFmtId="49" fontId="8" fillId="0" borderId="10" xfId="0" applyNumberFormat="1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" fontId="8" fillId="0" borderId="4" xfId="0" applyNumberFormat="1" applyFont="1" applyBorder="1" applyAlignment="1" applyProtection="1">
      <alignment horizontal="center" vertical="center"/>
      <protection locked="0"/>
    </xf>
    <xf numFmtId="1" fontId="8" fillId="0" borderId="5" xfId="0" applyNumberFormat="1" applyFont="1" applyBorder="1" applyAlignment="1" applyProtection="1">
      <alignment horizontal="center" vertical="center"/>
      <protection locked="0"/>
    </xf>
    <xf numFmtId="1" fontId="8" fillId="0" borderId="17" xfId="0" applyNumberFormat="1" applyFont="1" applyBorder="1" applyAlignment="1" applyProtection="1">
      <alignment horizontal="center" vertical="center"/>
      <protection locked="0"/>
    </xf>
    <xf numFmtId="1" fontId="8" fillId="0" borderId="7" xfId="0" applyNumberFormat="1" applyFont="1" applyBorder="1" applyAlignment="1" applyProtection="1">
      <alignment horizontal="center" vertical="center"/>
      <protection locked="0"/>
    </xf>
    <xf numFmtId="1" fontId="8" fillId="0" borderId="8" xfId="0" applyNumberFormat="1" applyFont="1" applyBorder="1" applyAlignment="1" applyProtection="1">
      <alignment horizontal="center" vertical="center"/>
      <protection locked="0"/>
    </xf>
    <xf numFmtId="1" fontId="8" fillId="0" borderId="24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7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24" xfId="0" applyFont="1" applyBorder="1" applyAlignment="1">
      <alignment wrapText="1"/>
    </xf>
    <xf numFmtId="49" fontId="8" fillId="0" borderId="11" xfId="0" applyNumberFormat="1" applyFont="1" applyBorder="1" applyAlignment="1" applyProtection="1">
      <alignment horizontal="center" vertical="center" textRotation="90" wrapText="1"/>
      <protection locked="0"/>
    </xf>
    <xf numFmtId="49" fontId="8" fillId="0" borderId="25" xfId="0" applyNumberFormat="1" applyFont="1" applyBorder="1" applyAlignment="1" applyProtection="1">
      <alignment horizontal="center" vertical="center" textRotation="90" wrapText="1"/>
      <protection locked="0"/>
    </xf>
    <xf numFmtId="0" fontId="2" fillId="0" borderId="20" xfId="0" applyFont="1" applyBorder="1" applyAlignment="1">
      <alignment horizontal="center" vertical="center" textRotation="90" wrapText="1"/>
    </xf>
    <xf numFmtId="1" fontId="8" fillId="0" borderId="13" xfId="0" applyNumberFormat="1" applyFont="1" applyBorder="1" applyAlignment="1" applyProtection="1">
      <alignment horizontal="center" vertical="center"/>
      <protection locked="0"/>
    </xf>
    <xf numFmtId="1" fontId="8" fillId="0" borderId="14" xfId="0" applyNumberFormat="1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17" xfId="0" applyFont="1" applyBorder="1" applyAlignment="1" applyProtection="1">
      <alignment horizontal="center" vertical="center" wrapText="1"/>
      <protection locked="0"/>
    </xf>
    <xf numFmtId="0" fontId="8" fillId="0" borderId="11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3" fillId="0" borderId="0" xfId="2"/>
    <xf numFmtId="0" fontId="3" fillId="2" borderId="0" xfId="2" applyFill="1"/>
    <xf numFmtId="0" fontId="13" fillId="2" borderId="0" xfId="2" applyFont="1" applyFill="1"/>
    <xf numFmtId="0" fontId="3" fillId="0" borderId="9" xfId="2" applyBorder="1" applyAlignment="1">
      <alignment horizontal="center"/>
    </xf>
    <xf numFmtId="0" fontId="14" fillId="2" borderId="3" xfId="2" applyFont="1" applyFill="1" applyBorder="1"/>
    <xf numFmtId="0" fontId="14" fillId="2" borderId="9" xfId="2" applyFont="1" applyFill="1" applyBorder="1" applyAlignment="1">
      <alignment horizontal="center"/>
    </xf>
    <xf numFmtId="0" fontId="14" fillId="2" borderId="5" xfId="2" applyFont="1" applyFill="1" applyBorder="1" applyAlignment="1">
      <alignment horizontal="center"/>
    </xf>
    <xf numFmtId="0" fontId="14" fillId="2" borderId="1" xfId="2" applyFont="1" applyFill="1" applyBorder="1"/>
    <xf numFmtId="0" fontId="14" fillId="2" borderId="1" xfId="2" applyFont="1" applyFill="1" applyBorder="1" applyAlignment="1">
      <alignment horizontal="center"/>
    </xf>
    <xf numFmtId="9" fontId="14" fillId="2" borderId="3" xfId="2" applyNumberFormat="1" applyFont="1" applyFill="1" applyBorder="1"/>
    <xf numFmtId="0" fontId="15" fillId="2" borderId="3" xfId="2" applyFont="1" applyFill="1" applyBorder="1"/>
    <xf numFmtId="0" fontId="3" fillId="0" borderId="25" xfId="2" applyBorder="1" applyAlignment="1">
      <alignment horizontal="center"/>
    </xf>
    <xf numFmtId="0" fontId="14" fillId="2" borderId="9" xfId="2" applyFont="1" applyFill="1" applyBorder="1"/>
    <xf numFmtId="0" fontId="14" fillId="2" borderId="20" xfId="2" applyFont="1" applyFill="1" applyBorder="1" applyAlignment="1">
      <alignment horizontal="center"/>
    </xf>
    <xf numFmtId="0" fontId="14" fillId="2" borderId="0" xfId="2" applyFont="1" applyFill="1" applyBorder="1" applyAlignment="1">
      <alignment horizontal="center"/>
    </xf>
    <xf numFmtId="0" fontId="3" fillId="2" borderId="9" xfId="2" applyFill="1" applyBorder="1"/>
    <xf numFmtId="9" fontId="3" fillId="2" borderId="9" xfId="2" applyNumberFormat="1" applyFill="1" applyBorder="1"/>
    <xf numFmtId="0" fontId="3" fillId="2" borderId="3" xfId="2" applyFill="1" applyBorder="1"/>
    <xf numFmtId="2" fontId="3" fillId="0" borderId="3" xfId="2" applyNumberFormat="1" applyFill="1" applyBorder="1"/>
    <xf numFmtId="49" fontId="3" fillId="2" borderId="3" xfId="2" applyNumberFormat="1" applyFill="1" applyBorder="1"/>
    <xf numFmtId="0" fontId="3" fillId="0" borderId="3" xfId="2" applyFill="1" applyBorder="1"/>
    <xf numFmtId="1" fontId="3" fillId="2" borderId="3" xfId="2" applyNumberFormat="1" applyFill="1" applyBorder="1"/>
    <xf numFmtId="1" fontId="3" fillId="2" borderId="3" xfId="2" applyNumberFormat="1" applyFont="1" applyFill="1" applyBorder="1"/>
    <xf numFmtId="0" fontId="3" fillId="2" borderId="24" xfId="2" applyFill="1" applyBorder="1"/>
    <xf numFmtId="1" fontId="3" fillId="0" borderId="3" xfId="2" applyNumberFormat="1" applyFill="1" applyBorder="1"/>
    <xf numFmtId="0" fontId="3" fillId="2" borderId="6" xfId="2" applyFill="1" applyBorder="1"/>
    <xf numFmtId="0" fontId="3" fillId="2" borderId="25" xfId="2" applyFill="1" applyBorder="1" applyAlignment="1">
      <alignment horizontal="right"/>
    </xf>
    <xf numFmtId="0" fontId="3" fillId="0" borderId="6" xfId="2" applyFill="1" applyBorder="1"/>
    <xf numFmtId="1" fontId="3" fillId="0" borderId="3" xfId="2" applyNumberFormat="1" applyFont="1" applyFill="1" applyBorder="1"/>
    <xf numFmtId="0" fontId="3" fillId="0" borderId="3" xfId="2" applyBorder="1"/>
    <xf numFmtId="165" fontId="14" fillId="2" borderId="3" xfId="2" applyNumberFormat="1" applyFont="1" applyFill="1" applyBorder="1"/>
    <xf numFmtId="1" fontId="14" fillId="2" borderId="3" xfId="2" applyNumberFormat="1" applyFont="1" applyFill="1" applyBorder="1"/>
    <xf numFmtId="0" fontId="15" fillId="2" borderId="0" xfId="2" applyFont="1" applyFill="1" applyBorder="1"/>
    <xf numFmtId="1" fontId="3" fillId="2" borderId="0" xfId="2" applyNumberFormat="1" applyFill="1"/>
    <xf numFmtId="0" fontId="15" fillId="0" borderId="0" xfId="2" applyFont="1" applyFill="1" applyBorder="1"/>
  </cellXfs>
  <cellStyles count="3">
    <cellStyle name="Денежный" xfId="1" builtinId="4"/>
    <cellStyle name="Обычный" xfId="0" builtinId="0"/>
    <cellStyle name="Обычн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44"/>
  <sheetViews>
    <sheetView topLeftCell="A28" workbookViewId="0">
      <selection activeCell="E49" sqref="E49"/>
    </sheetView>
  </sheetViews>
  <sheetFormatPr defaultRowHeight="15"/>
  <cols>
    <col min="1" max="1" width="3.7109375" customWidth="1"/>
    <col min="2" max="2" width="18.28515625" customWidth="1"/>
    <col min="10" max="10" width="10.85546875" customWidth="1"/>
    <col min="11" max="11" width="11" customWidth="1"/>
    <col min="21" max="21" width="11.8554687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3" t="s">
        <v>0</v>
      </c>
      <c r="P1" s="4"/>
      <c r="Q1" s="4"/>
      <c r="R1" s="5" t="s">
        <v>1</v>
      </c>
      <c r="S1" s="6" t="s">
        <v>2</v>
      </c>
      <c r="T1" s="6" t="s">
        <v>3</v>
      </c>
      <c r="U1" s="6" t="s">
        <v>4</v>
      </c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15.75">
      <c r="A2" s="1"/>
      <c r="B2" s="7" t="s">
        <v>5</v>
      </c>
      <c r="C2" s="7"/>
      <c r="D2" s="7"/>
      <c r="E2" s="7"/>
      <c r="F2" s="7"/>
      <c r="G2" s="7"/>
      <c r="H2" s="7"/>
      <c r="I2" s="1"/>
      <c r="J2" s="1"/>
      <c r="K2" s="1"/>
      <c r="L2" s="1"/>
      <c r="M2" s="1"/>
      <c r="N2" s="2"/>
      <c r="O2" s="3" t="s">
        <v>6</v>
      </c>
      <c r="P2" s="8"/>
      <c r="Q2" s="8"/>
      <c r="R2" s="6">
        <v>4</v>
      </c>
      <c r="S2" s="6">
        <v>5</v>
      </c>
      <c r="T2" s="6">
        <v>0</v>
      </c>
      <c r="U2" s="9">
        <f t="shared" ref="U2:U9" si="0">R2+S2+T2</f>
        <v>9</v>
      </c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</row>
    <row r="3" spans="1:45" ht="15.75">
      <c r="A3" s="1"/>
      <c r="B3" s="7" t="s">
        <v>7</v>
      </c>
      <c r="C3" s="7"/>
      <c r="D3" s="7"/>
      <c r="E3" s="7"/>
      <c r="F3" s="7"/>
      <c r="G3" s="7"/>
      <c r="H3" s="7"/>
      <c r="I3" s="1"/>
      <c r="J3" s="1"/>
      <c r="K3" s="1"/>
      <c r="L3" s="1"/>
      <c r="M3" s="1"/>
      <c r="N3" s="2"/>
      <c r="O3" s="10" t="s">
        <v>8</v>
      </c>
      <c r="P3" s="11"/>
      <c r="Q3" s="11"/>
      <c r="R3" s="6">
        <v>4</v>
      </c>
      <c r="S3" s="6">
        <v>5</v>
      </c>
      <c r="T3" s="6">
        <v>0</v>
      </c>
      <c r="U3" s="9">
        <f t="shared" si="0"/>
        <v>9</v>
      </c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2"/>
      <c r="O4" s="12" t="s">
        <v>9</v>
      </c>
      <c r="P4" s="13"/>
      <c r="Q4" s="14"/>
      <c r="R4" s="14">
        <v>14</v>
      </c>
      <c r="S4" s="15">
        <v>22</v>
      </c>
      <c r="T4" s="15">
        <v>0</v>
      </c>
      <c r="U4" s="9">
        <f t="shared" si="0"/>
        <v>36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3"/>
    </row>
    <row r="5" spans="1:45" ht="15.7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6"/>
      <c r="O5" s="17" t="s">
        <v>10</v>
      </c>
      <c r="P5" s="18"/>
      <c r="Q5" s="18"/>
      <c r="R5" s="19">
        <v>97</v>
      </c>
      <c r="S5" s="19">
        <v>157</v>
      </c>
      <c r="T5" s="19"/>
      <c r="U5" s="9">
        <f t="shared" si="0"/>
        <v>254</v>
      </c>
      <c r="V5" s="20"/>
      <c r="W5" s="20"/>
      <c r="X5" s="21"/>
      <c r="Y5" s="21"/>
      <c r="Z5" s="21"/>
      <c r="AA5" s="21"/>
      <c r="AB5" s="21"/>
      <c r="AC5" s="21"/>
      <c r="AD5" s="21"/>
      <c r="AE5" s="20"/>
      <c r="AF5" s="20"/>
      <c r="AG5" s="22"/>
      <c r="AH5" s="22"/>
      <c r="AI5" s="22"/>
      <c r="AJ5" s="22"/>
      <c r="AK5" s="22"/>
      <c r="AL5" s="22"/>
      <c r="AM5" s="22"/>
      <c r="AN5" s="22"/>
      <c r="AO5" s="1"/>
      <c r="AP5" s="1"/>
      <c r="AQ5" s="1"/>
      <c r="AR5" s="1"/>
      <c r="AS5" s="1"/>
    </row>
    <row r="6" spans="1:45" ht="15.7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2"/>
      <c r="O6" s="3" t="s">
        <v>11</v>
      </c>
      <c r="P6" s="8"/>
      <c r="Q6" s="8"/>
      <c r="R6" s="23">
        <f>R5+R7+R8</f>
        <v>97</v>
      </c>
      <c r="S6" s="23">
        <f>S5+S7+S8</f>
        <v>164</v>
      </c>
      <c r="T6" s="23">
        <f>T5+T7+T8</f>
        <v>0</v>
      </c>
      <c r="U6" s="9">
        <f t="shared" si="0"/>
        <v>261</v>
      </c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</row>
    <row r="7" spans="1:45" ht="15.7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2"/>
      <c r="O7" s="10" t="s">
        <v>12</v>
      </c>
      <c r="P7" s="11"/>
      <c r="Q7" s="11"/>
      <c r="R7" s="24">
        <v>0</v>
      </c>
      <c r="S7" s="24">
        <v>2</v>
      </c>
      <c r="T7" s="24"/>
      <c r="U7" s="9">
        <f t="shared" si="0"/>
        <v>2</v>
      </c>
      <c r="V7" s="1"/>
      <c r="W7" s="1"/>
      <c r="X7" s="1"/>
      <c r="Y7" s="1"/>
      <c r="Z7" s="1"/>
      <c r="AA7" s="1"/>
      <c r="AB7" s="1"/>
      <c r="AC7" s="1"/>
      <c r="AD7" s="1"/>
      <c r="AE7" s="25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</row>
    <row r="8" spans="1:45" ht="15.75">
      <c r="A8" s="1"/>
      <c r="B8" s="1"/>
      <c r="C8" s="1"/>
      <c r="D8" s="1"/>
      <c r="E8" s="7" t="s">
        <v>13</v>
      </c>
      <c r="F8" s="7"/>
      <c r="G8" s="7"/>
      <c r="H8" s="7"/>
      <c r="I8" s="7"/>
      <c r="J8" s="7"/>
      <c r="K8" s="7"/>
      <c r="L8" s="1"/>
      <c r="M8" s="1"/>
      <c r="N8" s="26"/>
      <c r="O8" s="3" t="s">
        <v>14</v>
      </c>
      <c r="P8" s="27"/>
      <c r="Q8" s="28"/>
      <c r="R8" s="29">
        <v>0</v>
      </c>
      <c r="S8" s="6">
        <v>5</v>
      </c>
      <c r="T8" s="6"/>
      <c r="U8" s="9">
        <f t="shared" si="0"/>
        <v>5</v>
      </c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</row>
    <row r="9" spans="1:45" ht="15.75">
      <c r="A9" s="1"/>
      <c r="B9" s="1"/>
      <c r="C9" s="1"/>
      <c r="D9" s="1"/>
      <c r="E9" s="1"/>
      <c r="F9" s="1"/>
      <c r="G9" s="1"/>
      <c r="H9" s="1"/>
      <c r="I9" s="1"/>
      <c r="J9" s="7" t="s">
        <v>15</v>
      </c>
      <c r="K9" s="7"/>
      <c r="L9" s="7"/>
      <c r="M9" s="7"/>
      <c r="N9" s="2"/>
      <c r="O9" s="15"/>
      <c r="P9" s="15" t="s">
        <v>16</v>
      </c>
      <c r="Q9" s="15"/>
      <c r="R9" s="6">
        <v>24</v>
      </c>
      <c r="S9" s="30"/>
      <c r="T9" s="30"/>
      <c r="U9" s="9">
        <f t="shared" si="0"/>
        <v>24</v>
      </c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</row>
    <row r="10" spans="1:45" ht="16.5" thickBo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2"/>
      <c r="O10" s="1"/>
      <c r="P10" s="3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47.25">
      <c r="A11" s="132" t="s">
        <v>17</v>
      </c>
      <c r="B11" s="134" t="s">
        <v>18</v>
      </c>
      <c r="C11" s="127" t="s">
        <v>19</v>
      </c>
      <c r="D11" s="137" t="s">
        <v>20</v>
      </c>
      <c r="E11" s="127" t="s">
        <v>21</v>
      </c>
      <c r="F11" s="127" t="s">
        <v>22</v>
      </c>
      <c r="G11" s="127" t="s">
        <v>23</v>
      </c>
      <c r="H11" s="127" t="s">
        <v>24</v>
      </c>
      <c r="I11" s="127" t="s">
        <v>25</v>
      </c>
      <c r="J11" s="127" t="s">
        <v>26</v>
      </c>
      <c r="K11" s="32"/>
      <c r="L11" s="33" t="s">
        <v>27</v>
      </c>
      <c r="M11" s="33" t="s">
        <v>28</v>
      </c>
      <c r="N11" s="112" t="s">
        <v>29</v>
      </c>
      <c r="O11" s="113"/>
      <c r="P11" s="114"/>
      <c r="Q11" s="130" t="s">
        <v>28</v>
      </c>
      <c r="R11" s="131"/>
      <c r="S11" s="131"/>
      <c r="T11" s="107">
        <v>0.25</v>
      </c>
      <c r="U11" s="110" t="s">
        <v>30</v>
      </c>
      <c r="V11" s="112" t="s">
        <v>31</v>
      </c>
      <c r="W11" s="113"/>
      <c r="X11" s="113"/>
      <c r="Y11" s="113"/>
      <c r="Z11" s="113"/>
      <c r="AA11" s="114"/>
      <c r="AB11" s="96" t="s">
        <v>32</v>
      </c>
      <c r="AC11" s="96"/>
      <c r="AD11" s="115" t="s">
        <v>33</v>
      </c>
      <c r="AE11" s="115" t="s">
        <v>34</v>
      </c>
      <c r="AF11" s="96" t="s">
        <v>35</v>
      </c>
      <c r="AG11" s="96"/>
      <c r="AH11" s="96"/>
      <c r="AI11" s="96"/>
      <c r="AJ11" s="97" t="s">
        <v>36</v>
      </c>
      <c r="AK11" s="98"/>
      <c r="AL11" s="99"/>
      <c r="AM11" s="34"/>
      <c r="AN11" s="100" t="s">
        <v>37</v>
      </c>
      <c r="AO11" s="96" t="s">
        <v>38</v>
      </c>
      <c r="AP11" s="96"/>
      <c r="AQ11" s="102" t="s">
        <v>39</v>
      </c>
      <c r="AR11" s="104" t="s">
        <v>40</v>
      </c>
      <c r="AS11" s="82" t="s">
        <v>41</v>
      </c>
    </row>
    <row r="12" spans="1:45" ht="45">
      <c r="A12" s="133"/>
      <c r="B12" s="135"/>
      <c r="C12" s="75"/>
      <c r="D12" s="138"/>
      <c r="E12" s="75"/>
      <c r="F12" s="75"/>
      <c r="G12" s="75"/>
      <c r="H12" s="75"/>
      <c r="I12" s="129"/>
      <c r="J12" s="75"/>
      <c r="K12" s="35" t="s">
        <v>42</v>
      </c>
      <c r="L12" s="78" t="s">
        <v>43</v>
      </c>
      <c r="M12" s="78" t="s">
        <v>43</v>
      </c>
      <c r="N12" s="84" t="s">
        <v>44</v>
      </c>
      <c r="O12" s="78" t="s">
        <v>45</v>
      </c>
      <c r="P12" s="86" t="s">
        <v>46</v>
      </c>
      <c r="Q12" s="80" t="s">
        <v>44</v>
      </c>
      <c r="R12" s="78" t="s">
        <v>45</v>
      </c>
      <c r="S12" s="88" t="s">
        <v>46</v>
      </c>
      <c r="T12" s="108"/>
      <c r="U12" s="111"/>
      <c r="V12" s="90" t="s">
        <v>47</v>
      </c>
      <c r="W12" s="91"/>
      <c r="X12" s="92"/>
      <c r="Y12" s="117" t="s">
        <v>48</v>
      </c>
      <c r="Z12" s="118"/>
      <c r="AA12" s="119"/>
      <c r="AB12" s="123" t="s">
        <v>49</v>
      </c>
      <c r="AC12" s="124"/>
      <c r="AD12" s="106"/>
      <c r="AE12" s="116"/>
      <c r="AF12" s="76" t="s">
        <v>50</v>
      </c>
      <c r="AG12" s="106" t="s">
        <v>51</v>
      </c>
      <c r="AH12" s="80" t="s">
        <v>52</v>
      </c>
      <c r="AI12" s="80" t="s">
        <v>53</v>
      </c>
      <c r="AJ12" s="75" t="s">
        <v>54</v>
      </c>
      <c r="AK12" s="75" t="s">
        <v>55</v>
      </c>
      <c r="AL12" s="75" t="s">
        <v>56</v>
      </c>
      <c r="AM12" s="35"/>
      <c r="AN12" s="101"/>
      <c r="AO12" s="76" t="s">
        <v>57</v>
      </c>
      <c r="AP12" s="76" t="s">
        <v>58</v>
      </c>
      <c r="AQ12" s="103"/>
      <c r="AR12" s="105"/>
      <c r="AS12" s="83"/>
    </row>
    <row r="13" spans="1:45">
      <c r="A13" s="133"/>
      <c r="B13" s="135"/>
      <c r="C13" s="75"/>
      <c r="D13" s="138"/>
      <c r="E13" s="75"/>
      <c r="F13" s="75"/>
      <c r="G13" s="75"/>
      <c r="H13" s="75"/>
      <c r="I13" s="129"/>
      <c r="J13" s="75"/>
      <c r="K13" s="35"/>
      <c r="L13" s="79"/>
      <c r="M13" s="79"/>
      <c r="N13" s="85"/>
      <c r="O13" s="79"/>
      <c r="P13" s="87"/>
      <c r="Q13" s="81"/>
      <c r="R13" s="79"/>
      <c r="S13" s="89"/>
      <c r="T13" s="108"/>
      <c r="U13" s="111"/>
      <c r="V13" s="93"/>
      <c r="W13" s="94"/>
      <c r="X13" s="95"/>
      <c r="Y13" s="120"/>
      <c r="Z13" s="121"/>
      <c r="AA13" s="122"/>
      <c r="AB13" s="125"/>
      <c r="AC13" s="126"/>
      <c r="AD13" s="106"/>
      <c r="AE13" s="116"/>
      <c r="AF13" s="77"/>
      <c r="AG13" s="106"/>
      <c r="AH13" s="81"/>
      <c r="AI13" s="81"/>
      <c r="AJ13" s="75"/>
      <c r="AK13" s="75"/>
      <c r="AL13" s="75"/>
      <c r="AM13" s="35"/>
      <c r="AN13" s="101"/>
      <c r="AO13" s="77"/>
      <c r="AP13" s="77"/>
      <c r="AQ13" s="103"/>
      <c r="AR13" s="105"/>
      <c r="AS13" s="83"/>
    </row>
    <row r="14" spans="1:45" ht="15.75">
      <c r="A14" s="133"/>
      <c r="B14" s="135"/>
      <c r="C14" s="75"/>
      <c r="D14" s="138"/>
      <c r="E14" s="75"/>
      <c r="F14" s="75"/>
      <c r="G14" s="75"/>
      <c r="H14" s="75"/>
      <c r="I14" s="129"/>
      <c r="J14" s="75"/>
      <c r="K14" s="35"/>
      <c r="L14" s="79"/>
      <c r="M14" s="79"/>
      <c r="N14" s="85"/>
      <c r="O14" s="79"/>
      <c r="P14" s="87"/>
      <c r="Q14" s="81"/>
      <c r="R14" s="79"/>
      <c r="S14" s="89"/>
      <c r="T14" s="109"/>
      <c r="U14" s="111"/>
      <c r="V14" s="78" t="s">
        <v>44</v>
      </c>
      <c r="W14" s="78" t="s">
        <v>45</v>
      </c>
      <c r="X14" s="78" t="s">
        <v>46</v>
      </c>
      <c r="Y14" s="80" t="s">
        <v>44</v>
      </c>
      <c r="Z14" s="80" t="s">
        <v>45</v>
      </c>
      <c r="AA14" s="80" t="s">
        <v>46</v>
      </c>
      <c r="AB14" s="36"/>
      <c r="AC14" s="36"/>
      <c r="AD14" s="106"/>
      <c r="AE14" s="116"/>
      <c r="AF14" s="77"/>
      <c r="AG14" s="106"/>
      <c r="AH14" s="81"/>
      <c r="AI14" s="81"/>
      <c r="AJ14" s="75"/>
      <c r="AK14" s="75"/>
      <c r="AL14" s="75"/>
      <c r="AM14" s="35"/>
      <c r="AN14" s="101"/>
      <c r="AO14" s="77"/>
      <c r="AP14" s="77"/>
      <c r="AQ14" s="103"/>
      <c r="AR14" s="105"/>
      <c r="AS14" s="83"/>
    </row>
    <row r="15" spans="1:45">
      <c r="A15" s="133"/>
      <c r="B15" s="135"/>
      <c r="C15" s="75"/>
      <c r="D15" s="138"/>
      <c r="E15" s="75"/>
      <c r="F15" s="75"/>
      <c r="G15" s="75"/>
      <c r="H15" s="75"/>
      <c r="I15" s="129"/>
      <c r="J15" s="75"/>
      <c r="K15" s="35"/>
      <c r="L15" s="79"/>
      <c r="M15" s="79"/>
      <c r="N15" s="85"/>
      <c r="O15" s="79"/>
      <c r="P15" s="87"/>
      <c r="Q15" s="81"/>
      <c r="R15" s="79"/>
      <c r="S15" s="89"/>
      <c r="T15" s="109"/>
      <c r="U15" s="111"/>
      <c r="V15" s="79"/>
      <c r="W15" s="79"/>
      <c r="X15" s="79"/>
      <c r="Y15" s="81"/>
      <c r="Z15" s="81"/>
      <c r="AA15" s="81"/>
      <c r="AB15" s="73" t="s">
        <v>44</v>
      </c>
      <c r="AC15" s="73" t="s">
        <v>59</v>
      </c>
      <c r="AD15" s="106"/>
      <c r="AE15" s="116"/>
      <c r="AF15" s="77"/>
      <c r="AG15" s="106"/>
      <c r="AH15" s="81"/>
      <c r="AI15" s="81"/>
      <c r="AJ15" s="75"/>
      <c r="AK15" s="75"/>
      <c r="AL15" s="75"/>
      <c r="AM15" s="35"/>
      <c r="AN15" s="101"/>
      <c r="AO15" s="77"/>
      <c r="AP15" s="77"/>
      <c r="AQ15" s="103"/>
      <c r="AR15" s="105"/>
      <c r="AS15" s="83"/>
    </row>
    <row r="16" spans="1:45">
      <c r="A16" s="133"/>
      <c r="B16" s="136"/>
      <c r="C16" s="75"/>
      <c r="D16" s="138"/>
      <c r="E16" s="75"/>
      <c r="F16" s="75"/>
      <c r="G16" s="128"/>
      <c r="H16" s="75"/>
      <c r="I16" s="129"/>
      <c r="J16" s="75"/>
      <c r="K16" s="35"/>
      <c r="L16" s="79"/>
      <c r="M16" s="79"/>
      <c r="N16" s="85"/>
      <c r="O16" s="79"/>
      <c r="P16" s="87"/>
      <c r="Q16" s="81"/>
      <c r="R16" s="79"/>
      <c r="S16" s="89"/>
      <c r="T16" s="109"/>
      <c r="U16" s="111"/>
      <c r="V16" s="79"/>
      <c r="W16" s="79"/>
      <c r="X16" s="79"/>
      <c r="Y16" s="81"/>
      <c r="Z16" s="81"/>
      <c r="AA16" s="81"/>
      <c r="AB16" s="74"/>
      <c r="AC16" s="74"/>
      <c r="AD16" s="106"/>
      <c r="AE16" s="116"/>
      <c r="AF16" s="77"/>
      <c r="AG16" s="106"/>
      <c r="AH16" s="81"/>
      <c r="AI16" s="81"/>
      <c r="AJ16" s="75"/>
      <c r="AK16" s="75"/>
      <c r="AL16" s="75"/>
      <c r="AM16" s="35"/>
      <c r="AN16" s="101"/>
      <c r="AO16" s="77"/>
      <c r="AP16" s="77"/>
      <c r="AQ16" s="103"/>
      <c r="AR16" s="105"/>
      <c r="AS16" s="83"/>
    </row>
    <row r="17" spans="1:45" ht="15.75">
      <c r="A17" s="37">
        <v>1</v>
      </c>
      <c r="B17" s="38">
        <v>2</v>
      </c>
      <c r="C17" s="37">
        <v>3</v>
      </c>
      <c r="D17" s="38">
        <v>4</v>
      </c>
      <c r="E17" s="37">
        <v>5</v>
      </c>
      <c r="F17" s="38">
        <v>6</v>
      </c>
      <c r="G17" s="37">
        <v>7</v>
      </c>
      <c r="H17" s="38">
        <v>8</v>
      </c>
      <c r="I17" s="37">
        <v>9</v>
      </c>
      <c r="J17" s="38">
        <v>10</v>
      </c>
      <c r="K17" s="38"/>
      <c r="L17" s="37">
        <v>11</v>
      </c>
      <c r="M17" s="38">
        <v>12</v>
      </c>
      <c r="N17" s="37">
        <v>12</v>
      </c>
      <c r="O17" s="38">
        <v>7</v>
      </c>
      <c r="P17" s="37">
        <v>15</v>
      </c>
      <c r="Q17" s="38">
        <v>16</v>
      </c>
      <c r="R17" s="37">
        <v>17</v>
      </c>
      <c r="S17" s="38">
        <v>18</v>
      </c>
      <c r="T17" s="37">
        <v>19</v>
      </c>
      <c r="U17" s="38">
        <v>20</v>
      </c>
      <c r="V17" s="37">
        <v>21</v>
      </c>
      <c r="W17" s="38">
        <v>22</v>
      </c>
      <c r="X17" s="37">
        <v>23</v>
      </c>
      <c r="Y17" s="38">
        <v>24</v>
      </c>
      <c r="Z17" s="37">
        <v>25</v>
      </c>
      <c r="AA17" s="38">
        <v>26</v>
      </c>
      <c r="AB17" s="37">
        <v>27</v>
      </c>
      <c r="AC17" s="38">
        <v>28</v>
      </c>
      <c r="AD17" s="37">
        <v>29</v>
      </c>
      <c r="AE17" s="38">
        <v>30</v>
      </c>
      <c r="AF17" s="37">
        <v>31</v>
      </c>
      <c r="AG17" s="38">
        <v>32</v>
      </c>
      <c r="AH17" s="37">
        <v>33</v>
      </c>
      <c r="AI17" s="38">
        <v>34</v>
      </c>
      <c r="AJ17" s="37">
        <v>35</v>
      </c>
      <c r="AK17" s="38">
        <v>36</v>
      </c>
      <c r="AL17" s="37">
        <v>17329</v>
      </c>
      <c r="AM17" s="37"/>
      <c r="AN17" s="38">
        <v>38</v>
      </c>
      <c r="AO17" s="37">
        <v>39</v>
      </c>
      <c r="AP17" s="38">
        <v>40</v>
      </c>
      <c r="AQ17" s="37">
        <v>41</v>
      </c>
      <c r="AR17" s="38">
        <v>42</v>
      </c>
      <c r="AS17" s="37">
        <v>43</v>
      </c>
    </row>
    <row r="18" spans="1:45" ht="31.5">
      <c r="A18" s="39">
        <v>1</v>
      </c>
      <c r="B18" s="40"/>
      <c r="C18" s="41" t="s">
        <v>60</v>
      </c>
      <c r="D18" s="42" t="s">
        <v>61</v>
      </c>
      <c r="E18" s="41"/>
      <c r="F18" s="42">
        <v>20.9</v>
      </c>
      <c r="G18" s="41" t="s">
        <v>62</v>
      </c>
      <c r="H18" s="42">
        <v>5.32</v>
      </c>
      <c r="I18" s="43">
        <v>17697</v>
      </c>
      <c r="J18" s="15">
        <f t="shared" ref="J18:J35" si="1">H18*I18</f>
        <v>94148.040000000008</v>
      </c>
      <c r="K18" s="42">
        <f>J18*1.25</f>
        <v>117685.05000000002</v>
      </c>
      <c r="L18" s="41"/>
      <c r="M18" s="44">
        <f>J18/24*L18</f>
        <v>0</v>
      </c>
      <c r="N18" s="41"/>
      <c r="O18" s="42">
        <v>10</v>
      </c>
      <c r="P18" s="41"/>
      <c r="Q18" s="45">
        <f>K18/18*N18</f>
        <v>0</v>
      </c>
      <c r="R18" s="46">
        <f>K18/18*O18</f>
        <v>65380.583333333343</v>
      </c>
      <c r="S18" s="47"/>
      <c r="T18" s="48">
        <f t="shared" ref="T18:T35" si="2">(M18+Q18+R18+S18)*25%</f>
        <v>16345.145833333336</v>
      </c>
      <c r="U18" s="49">
        <f t="shared" ref="U18:U35" si="3">(Q18+R18+S18+M18+T18)*10%</f>
        <v>8172.5729166666688</v>
      </c>
      <c r="V18" s="41"/>
      <c r="W18" s="42">
        <v>10</v>
      </c>
      <c r="X18" s="41"/>
      <c r="Y18" s="42"/>
      <c r="Z18" s="41">
        <v>2458</v>
      </c>
      <c r="AA18" s="42"/>
      <c r="AB18" s="41"/>
      <c r="AC18" s="42"/>
      <c r="AD18" s="41"/>
      <c r="AE18" s="42"/>
      <c r="AF18" s="41"/>
      <c r="AG18" s="42"/>
      <c r="AH18" s="41"/>
      <c r="AI18" s="42"/>
      <c r="AJ18" s="41"/>
      <c r="AK18" s="42"/>
      <c r="AL18" s="41"/>
      <c r="AM18" s="41"/>
      <c r="AN18" s="50">
        <f>AV18</f>
        <v>0</v>
      </c>
      <c r="AO18" s="41"/>
      <c r="AP18" s="42"/>
      <c r="AQ18" s="51">
        <f>AG18+AH18+AI18+AN18</f>
        <v>0</v>
      </c>
      <c r="AR18" s="52">
        <f>Q18+R18+S18+T18+U18+Y18+Z18+AA18+AB18+AC18+AD18+AE18+AF18+AG18+AH18+AI18+AJ18+AK18+AL18+AN18+AO18+AP18+M18</f>
        <v>92356.302083333358</v>
      </c>
      <c r="AS18" s="53">
        <f>AR18-AQ18</f>
        <v>92356.302083333358</v>
      </c>
    </row>
    <row r="19" spans="1:45" ht="15.75">
      <c r="A19" s="54">
        <v>2</v>
      </c>
      <c r="B19" s="55"/>
      <c r="C19" s="55" t="s">
        <v>60</v>
      </c>
      <c r="D19" s="55" t="s">
        <v>63</v>
      </c>
      <c r="E19" s="56"/>
      <c r="F19" s="57">
        <v>20.7</v>
      </c>
      <c r="G19" s="43" t="s">
        <v>64</v>
      </c>
      <c r="H19" s="43">
        <v>5.12</v>
      </c>
      <c r="I19" s="43">
        <v>17697</v>
      </c>
      <c r="J19" s="15">
        <f t="shared" si="1"/>
        <v>90608.639999999999</v>
      </c>
      <c r="K19" s="42">
        <f t="shared" ref="K19:K35" si="4">J19*1.25</f>
        <v>113260.8</v>
      </c>
      <c r="L19" s="43">
        <v>1</v>
      </c>
      <c r="M19" s="44">
        <f>K19/24*L19</f>
        <v>4719.2</v>
      </c>
      <c r="N19" s="43">
        <v>7</v>
      </c>
      <c r="O19" s="43">
        <v>7</v>
      </c>
      <c r="P19" s="58"/>
      <c r="Q19" s="45">
        <f t="shared" ref="Q19:Q35" si="5">K19/18*N19</f>
        <v>44045.866666666669</v>
      </c>
      <c r="R19" s="46">
        <f t="shared" ref="R19:R35" si="6">K19/18*O19</f>
        <v>44045.866666666669</v>
      </c>
      <c r="S19" s="46">
        <f>J19/18*P19</f>
        <v>0</v>
      </c>
      <c r="T19" s="48">
        <f t="shared" si="2"/>
        <v>23202.733333333334</v>
      </c>
      <c r="U19" s="49">
        <f>(Q19+R19+S19+M19+T19)*10%</f>
        <v>11601.366666666669</v>
      </c>
      <c r="V19" s="43"/>
      <c r="W19" s="43"/>
      <c r="X19" s="43"/>
      <c r="Y19" s="43"/>
      <c r="Z19" s="43"/>
      <c r="AA19" s="43"/>
      <c r="AB19" s="43"/>
      <c r="AC19" s="43">
        <v>5309</v>
      </c>
      <c r="AD19" s="43">
        <v>3539</v>
      </c>
      <c r="AE19" s="43"/>
      <c r="AF19" s="43">
        <v>0</v>
      </c>
      <c r="AG19" s="43"/>
      <c r="AH19" s="43"/>
      <c r="AI19" s="43"/>
      <c r="AJ19" s="43"/>
      <c r="AK19" s="43"/>
      <c r="AL19" s="43">
        <v>0</v>
      </c>
      <c r="AM19" s="43"/>
      <c r="AN19" s="50">
        <f t="shared" ref="AN19:AN35" si="7">AV19</f>
        <v>0</v>
      </c>
      <c r="AO19" s="15"/>
      <c r="AP19" s="15"/>
      <c r="AQ19" s="51">
        <f t="shared" ref="AQ19:AQ30" si="8">AG19+AH19+AI19+AN19</f>
        <v>0</v>
      </c>
      <c r="AR19" s="52">
        <f t="shared" ref="AR19:AR35" si="9">Q19+R19+S19+T19+U19+Y19+Z19+AA19+AB19+AC19+AD19+AE19+AF19+AG19+AH19+AI19+AJ19+AK19+AL19+AN19+AO19+AP19+M19</f>
        <v>136463.03333333335</v>
      </c>
      <c r="AS19" s="53">
        <f t="shared" ref="AS19:AS35" si="10">AR19-AQ19</f>
        <v>136463.03333333335</v>
      </c>
    </row>
    <row r="20" spans="1:45" ht="15.75">
      <c r="A20" s="39">
        <v>3</v>
      </c>
      <c r="B20" s="55"/>
      <c r="C20" s="55" t="s">
        <v>60</v>
      </c>
      <c r="D20" s="55" t="s">
        <v>65</v>
      </c>
      <c r="E20" s="56"/>
      <c r="F20" s="57">
        <v>16</v>
      </c>
      <c r="G20" s="43" t="s">
        <v>64</v>
      </c>
      <c r="H20" s="43">
        <v>5.03</v>
      </c>
      <c r="I20" s="43">
        <v>17697</v>
      </c>
      <c r="J20" s="15">
        <f t="shared" si="1"/>
        <v>89015.91</v>
      </c>
      <c r="K20" s="42">
        <f t="shared" si="4"/>
        <v>111269.88750000001</v>
      </c>
      <c r="L20" s="43"/>
      <c r="M20" s="44">
        <f t="shared" ref="M20:M35" si="11">K20/24*L20</f>
        <v>0</v>
      </c>
      <c r="N20" s="43">
        <v>0</v>
      </c>
      <c r="O20" s="43">
        <v>25</v>
      </c>
      <c r="P20" s="58"/>
      <c r="Q20" s="45">
        <f t="shared" si="5"/>
        <v>0</v>
      </c>
      <c r="R20" s="46">
        <f t="shared" si="6"/>
        <v>154541.51041666669</v>
      </c>
      <c r="S20" s="46">
        <f>J20/18*P20</f>
        <v>0</v>
      </c>
      <c r="T20" s="48">
        <f t="shared" si="2"/>
        <v>38635.377604166672</v>
      </c>
      <c r="U20" s="49">
        <f t="shared" si="3"/>
        <v>19317.688802083339</v>
      </c>
      <c r="V20" s="43"/>
      <c r="W20" s="43">
        <v>25</v>
      </c>
      <c r="X20" s="43"/>
      <c r="Y20" s="43">
        <v>0</v>
      </c>
      <c r="Z20" s="43">
        <v>4915</v>
      </c>
      <c r="AA20" s="43"/>
      <c r="AB20" s="43"/>
      <c r="AC20" s="43">
        <v>5309</v>
      </c>
      <c r="AD20" s="43">
        <v>0</v>
      </c>
      <c r="AE20" s="43"/>
      <c r="AF20" s="43"/>
      <c r="AG20" s="43"/>
      <c r="AH20" s="43"/>
      <c r="AI20" s="43"/>
      <c r="AJ20" s="43"/>
      <c r="AK20" s="43"/>
      <c r="AL20" s="43">
        <v>0</v>
      </c>
      <c r="AM20" s="43"/>
      <c r="AN20" s="50">
        <f t="shared" si="7"/>
        <v>0</v>
      </c>
      <c r="AO20" s="43"/>
      <c r="AP20" s="43"/>
      <c r="AQ20" s="51">
        <f t="shared" si="8"/>
        <v>0</v>
      </c>
      <c r="AR20" s="52">
        <f t="shared" si="9"/>
        <v>222718.57682291672</v>
      </c>
      <c r="AS20" s="53">
        <f t="shared" si="10"/>
        <v>222718.57682291672</v>
      </c>
    </row>
    <row r="21" spans="1:45" ht="15.75">
      <c r="A21" s="54">
        <v>4</v>
      </c>
      <c r="B21" s="55"/>
      <c r="C21" s="55" t="s">
        <v>60</v>
      </c>
      <c r="D21" s="55" t="s">
        <v>66</v>
      </c>
      <c r="E21" s="56"/>
      <c r="F21" s="57">
        <v>16</v>
      </c>
      <c r="G21" s="43" t="s">
        <v>67</v>
      </c>
      <c r="H21" s="43">
        <v>4.59</v>
      </c>
      <c r="I21" s="43">
        <v>17697</v>
      </c>
      <c r="J21" s="15">
        <f t="shared" si="1"/>
        <v>81229.23</v>
      </c>
      <c r="K21" s="42">
        <f t="shared" si="4"/>
        <v>101536.53749999999</v>
      </c>
      <c r="L21" s="43"/>
      <c r="M21" s="44">
        <f t="shared" si="11"/>
        <v>0</v>
      </c>
      <c r="N21" s="43">
        <v>2</v>
      </c>
      <c r="O21" s="43">
        <v>5</v>
      </c>
      <c r="P21" s="58"/>
      <c r="Q21" s="45">
        <f t="shared" si="5"/>
        <v>11281.8375</v>
      </c>
      <c r="R21" s="46">
        <f t="shared" si="6"/>
        <v>28204.59375</v>
      </c>
      <c r="S21" s="46"/>
      <c r="T21" s="48">
        <f t="shared" si="2"/>
        <v>9871.6078125000004</v>
      </c>
      <c r="U21" s="49">
        <f t="shared" si="3"/>
        <v>4935.8039062500002</v>
      </c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50">
        <f t="shared" si="7"/>
        <v>0</v>
      </c>
      <c r="AO21" s="43"/>
      <c r="AP21" s="43"/>
      <c r="AQ21" s="51">
        <f t="shared" si="8"/>
        <v>0</v>
      </c>
      <c r="AR21" s="52">
        <f t="shared" si="9"/>
        <v>54293.842968750003</v>
      </c>
      <c r="AS21" s="53">
        <f t="shared" si="10"/>
        <v>54293.842968750003</v>
      </c>
    </row>
    <row r="22" spans="1:45" ht="15.75">
      <c r="A22" s="39">
        <v>5</v>
      </c>
      <c r="B22" s="59"/>
      <c r="C22" s="15" t="s">
        <v>60</v>
      </c>
      <c r="D22" s="72" t="s">
        <v>61</v>
      </c>
      <c r="E22" s="60"/>
      <c r="F22" s="61">
        <v>13.1</v>
      </c>
      <c r="G22" s="15" t="s">
        <v>64</v>
      </c>
      <c r="H22" s="15">
        <v>4.95</v>
      </c>
      <c r="I22" s="43">
        <v>17697</v>
      </c>
      <c r="J22" s="15">
        <f t="shared" si="1"/>
        <v>87600.150000000009</v>
      </c>
      <c r="K22" s="42">
        <f t="shared" si="4"/>
        <v>109500.18750000001</v>
      </c>
      <c r="L22" s="43"/>
      <c r="M22" s="44">
        <f t="shared" si="11"/>
        <v>0</v>
      </c>
      <c r="N22" s="43">
        <v>0</v>
      </c>
      <c r="O22" s="43">
        <v>11</v>
      </c>
      <c r="P22" s="58"/>
      <c r="Q22" s="45">
        <f t="shared" si="5"/>
        <v>0</v>
      </c>
      <c r="R22" s="46">
        <f t="shared" si="6"/>
        <v>66916.781250000015</v>
      </c>
      <c r="S22" s="46">
        <f>J22/18*P22</f>
        <v>0</v>
      </c>
      <c r="T22" s="48">
        <f t="shared" si="2"/>
        <v>16729.195312500004</v>
      </c>
      <c r="U22" s="49">
        <f t="shared" si="3"/>
        <v>8364.5976562500018</v>
      </c>
      <c r="V22" s="43">
        <v>0</v>
      </c>
      <c r="W22" s="43">
        <v>10</v>
      </c>
      <c r="X22" s="43"/>
      <c r="Y22" s="43">
        <v>0</v>
      </c>
      <c r="Z22" s="43">
        <v>2458</v>
      </c>
      <c r="AA22" s="43"/>
      <c r="AB22" s="43"/>
      <c r="AC22" s="43"/>
      <c r="AD22" s="43">
        <v>3539</v>
      </c>
      <c r="AE22" s="43"/>
      <c r="AF22" s="43"/>
      <c r="AG22" s="43"/>
      <c r="AH22" s="43"/>
      <c r="AI22" s="43"/>
      <c r="AJ22" s="43"/>
      <c r="AK22" s="43"/>
      <c r="AL22" s="43">
        <v>0</v>
      </c>
      <c r="AM22" s="43"/>
      <c r="AN22" s="50">
        <f t="shared" si="7"/>
        <v>0</v>
      </c>
      <c r="AO22" s="43"/>
      <c r="AP22" s="43"/>
      <c r="AQ22" s="51">
        <f t="shared" si="8"/>
        <v>0</v>
      </c>
      <c r="AR22" s="52">
        <f t="shared" si="9"/>
        <v>98007.574218750015</v>
      </c>
      <c r="AS22" s="53">
        <f t="shared" si="10"/>
        <v>98007.574218750015</v>
      </c>
    </row>
    <row r="23" spans="1:45" ht="15.75">
      <c r="A23" s="54">
        <v>6</v>
      </c>
      <c r="B23" s="59"/>
      <c r="C23" s="15" t="s">
        <v>60</v>
      </c>
      <c r="D23" s="55" t="s">
        <v>68</v>
      </c>
      <c r="E23" s="60"/>
      <c r="F23" s="43">
        <v>21.11</v>
      </c>
      <c r="G23" s="15" t="s">
        <v>64</v>
      </c>
      <c r="H23" s="15">
        <v>5.12</v>
      </c>
      <c r="I23" s="43">
        <v>17697</v>
      </c>
      <c r="J23" s="15">
        <f t="shared" si="1"/>
        <v>90608.639999999999</v>
      </c>
      <c r="K23" s="42">
        <f t="shared" si="4"/>
        <v>113260.8</v>
      </c>
      <c r="L23" s="43"/>
      <c r="M23" s="44">
        <f t="shared" si="11"/>
        <v>0</v>
      </c>
      <c r="N23" s="43">
        <v>0</v>
      </c>
      <c r="O23" s="43">
        <v>6</v>
      </c>
      <c r="P23" s="58"/>
      <c r="Q23" s="45">
        <f t="shared" si="5"/>
        <v>0</v>
      </c>
      <c r="R23" s="46">
        <f t="shared" si="6"/>
        <v>37753.599999999999</v>
      </c>
      <c r="S23" s="46">
        <f>J23/18*P23</f>
        <v>0</v>
      </c>
      <c r="T23" s="48">
        <f t="shared" si="2"/>
        <v>9438.4</v>
      </c>
      <c r="U23" s="49">
        <f t="shared" si="3"/>
        <v>4719.2</v>
      </c>
      <c r="V23" s="43">
        <v>0</v>
      </c>
      <c r="W23" s="43">
        <v>6</v>
      </c>
      <c r="X23" s="43"/>
      <c r="Y23" s="43">
        <v>0</v>
      </c>
      <c r="Z23" s="43">
        <v>1180</v>
      </c>
      <c r="AA23" s="43"/>
      <c r="AB23" s="43"/>
      <c r="AC23" s="43">
        <v>0</v>
      </c>
      <c r="AD23" s="43"/>
      <c r="AE23" s="43"/>
      <c r="AF23" s="43"/>
      <c r="AG23" s="43"/>
      <c r="AH23" s="43"/>
      <c r="AI23" s="43"/>
      <c r="AJ23" s="43"/>
      <c r="AK23" s="15"/>
      <c r="AL23" s="15">
        <v>0</v>
      </c>
      <c r="AM23" s="15"/>
      <c r="AN23" s="50">
        <f t="shared" si="7"/>
        <v>0</v>
      </c>
      <c r="AO23" s="43"/>
      <c r="AP23" s="43"/>
      <c r="AQ23" s="51">
        <f t="shared" si="8"/>
        <v>0</v>
      </c>
      <c r="AR23" s="52">
        <f t="shared" si="9"/>
        <v>53091.199999999997</v>
      </c>
      <c r="AS23" s="53">
        <f t="shared" si="10"/>
        <v>53091.199999999997</v>
      </c>
    </row>
    <row r="24" spans="1:45" ht="15.75">
      <c r="A24" s="39">
        <v>7</v>
      </c>
      <c r="B24" s="59"/>
      <c r="C24" s="15" t="s">
        <v>60</v>
      </c>
      <c r="D24" s="55" t="s">
        <v>69</v>
      </c>
      <c r="E24" s="60"/>
      <c r="F24" s="43">
        <v>11.11</v>
      </c>
      <c r="G24" s="15" t="s">
        <v>64</v>
      </c>
      <c r="H24" s="15">
        <v>4.8600000000000003</v>
      </c>
      <c r="I24" s="43">
        <v>17697</v>
      </c>
      <c r="J24" s="15">
        <f t="shared" si="1"/>
        <v>86007.420000000013</v>
      </c>
      <c r="K24" s="42">
        <f t="shared" si="4"/>
        <v>107509.27500000002</v>
      </c>
      <c r="L24" s="43"/>
      <c r="M24" s="44">
        <f t="shared" si="11"/>
        <v>0</v>
      </c>
      <c r="N24" s="43">
        <v>17</v>
      </c>
      <c r="O24" s="43"/>
      <c r="P24" s="58"/>
      <c r="Q24" s="45">
        <f t="shared" si="5"/>
        <v>101536.53750000002</v>
      </c>
      <c r="R24" s="46">
        <f t="shared" si="6"/>
        <v>0</v>
      </c>
      <c r="S24" s="46"/>
      <c r="T24" s="48">
        <f t="shared" si="2"/>
        <v>25384.134375000005</v>
      </c>
      <c r="U24" s="49">
        <f t="shared" si="3"/>
        <v>12692.067187500004</v>
      </c>
      <c r="V24" s="43">
        <v>12</v>
      </c>
      <c r="W24" s="43"/>
      <c r="X24" s="43"/>
      <c r="Y24" s="43">
        <v>2360</v>
      </c>
      <c r="Z24" s="43"/>
      <c r="AA24" s="43"/>
      <c r="AB24" s="43">
        <v>4424</v>
      </c>
      <c r="AC24" s="43"/>
      <c r="AD24" s="43">
        <v>3539</v>
      </c>
      <c r="AE24" s="43"/>
      <c r="AF24" s="43"/>
      <c r="AG24" s="43"/>
      <c r="AH24" s="43">
        <f>(Q24+R24+S24+T24)*35%</f>
        <v>44422.235156250004</v>
      </c>
      <c r="AI24" s="43"/>
      <c r="AJ24" s="43"/>
      <c r="AK24" s="15"/>
      <c r="AL24" s="15"/>
      <c r="AM24" s="15"/>
      <c r="AN24" s="50">
        <f t="shared" si="7"/>
        <v>0</v>
      </c>
      <c r="AO24" s="43"/>
      <c r="AP24" s="43"/>
      <c r="AQ24" s="51">
        <f t="shared" si="8"/>
        <v>44422.235156250004</v>
      </c>
      <c r="AR24" s="52">
        <f t="shared" si="9"/>
        <v>194357.97421875005</v>
      </c>
      <c r="AS24" s="53">
        <f t="shared" si="10"/>
        <v>149935.73906250004</v>
      </c>
    </row>
    <row r="25" spans="1:45" ht="15.75">
      <c r="A25" s="54">
        <v>8</v>
      </c>
      <c r="B25" s="62"/>
      <c r="C25" s="15" t="s">
        <v>60</v>
      </c>
      <c r="D25" s="15" t="s">
        <v>69</v>
      </c>
      <c r="E25" s="60"/>
      <c r="F25" s="61">
        <v>27.3</v>
      </c>
      <c r="G25" s="15" t="s">
        <v>64</v>
      </c>
      <c r="H25" s="15">
        <v>5.2</v>
      </c>
      <c r="I25" s="43">
        <v>17697</v>
      </c>
      <c r="J25" s="15">
        <f t="shared" si="1"/>
        <v>92024.400000000009</v>
      </c>
      <c r="K25" s="42">
        <f t="shared" si="4"/>
        <v>115030.50000000001</v>
      </c>
      <c r="L25" s="43"/>
      <c r="M25" s="44">
        <f t="shared" si="11"/>
        <v>0</v>
      </c>
      <c r="N25" s="43">
        <v>13</v>
      </c>
      <c r="O25" s="43">
        <v>4</v>
      </c>
      <c r="P25" s="58"/>
      <c r="Q25" s="45">
        <f t="shared" si="5"/>
        <v>83077.583333333343</v>
      </c>
      <c r="R25" s="46">
        <f t="shared" si="6"/>
        <v>25562.333333333336</v>
      </c>
      <c r="S25" s="46">
        <f>J25/18*P25</f>
        <v>0</v>
      </c>
      <c r="T25" s="48">
        <f t="shared" si="2"/>
        <v>27159.979166666672</v>
      </c>
      <c r="U25" s="49">
        <f t="shared" si="3"/>
        <v>13579.989583333338</v>
      </c>
      <c r="V25" s="43">
        <v>12</v>
      </c>
      <c r="W25" s="43"/>
      <c r="X25" s="43"/>
      <c r="Y25" s="43">
        <v>2360</v>
      </c>
      <c r="Z25" s="43"/>
      <c r="AA25" s="43"/>
      <c r="AB25" s="43">
        <v>4424</v>
      </c>
      <c r="AC25" s="43"/>
      <c r="AD25" s="43">
        <v>0</v>
      </c>
      <c r="AE25" s="43"/>
      <c r="AF25" s="43"/>
      <c r="AG25" s="43"/>
      <c r="AH25" s="43">
        <f>(Q25+R25+S25+T25)*35%</f>
        <v>47529.963541666679</v>
      </c>
      <c r="AI25" s="43"/>
      <c r="AJ25" s="43"/>
      <c r="AK25" s="43"/>
      <c r="AL25" s="43"/>
      <c r="AM25" s="43"/>
      <c r="AN25" s="50">
        <f t="shared" si="7"/>
        <v>0</v>
      </c>
      <c r="AO25" s="43"/>
      <c r="AP25" s="43"/>
      <c r="AQ25" s="51">
        <f t="shared" si="8"/>
        <v>47529.963541666679</v>
      </c>
      <c r="AR25" s="52">
        <f t="shared" si="9"/>
        <v>203693.8489583334</v>
      </c>
      <c r="AS25" s="53">
        <f t="shared" si="10"/>
        <v>156163.88541666672</v>
      </c>
    </row>
    <row r="26" spans="1:45" ht="15.75">
      <c r="A26" s="39">
        <v>9</v>
      </c>
      <c r="B26" s="62"/>
      <c r="C26" s="15" t="s">
        <v>60</v>
      </c>
      <c r="D26" s="15" t="s">
        <v>70</v>
      </c>
      <c r="E26" s="60"/>
      <c r="F26" s="61">
        <v>27.3</v>
      </c>
      <c r="G26" s="15" t="s">
        <v>67</v>
      </c>
      <c r="H26" s="15">
        <v>4.7300000000000004</v>
      </c>
      <c r="I26" s="43">
        <v>17697</v>
      </c>
      <c r="J26" s="15">
        <f t="shared" si="1"/>
        <v>83706.810000000012</v>
      </c>
      <c r="K26" s="42">
        <f t="shared" si="4"/>
        <v>104633.51250000001</v>
      </c>
      <c r="L26" s="43"/>
      <c r="M26" s="44">
        <f t="shared" si="11"/>
        <v>0</v>
      </c>
      <c r="N26" s="43"/>
      <c r="O26" s="43">
        <v>11</v>
      </c>
      <c r="P26" s="58"/>
      <c r="Q26" s="45">
        <f t="shared" si="5"/>
        <v>0</v>
      </c>
      <c r="R26" s="46">
        <f t="shared" si="6"/>
        <v>63942.702083333344</v>
      </c>
      <c r="S26" s="46"/>
      <c r="T26" s="48">
        <f t="shared" si="2"/>
        <v>15985.675520833336</v>
      </c>
      <c r="U26" s="49">
        <f t="shared" si="3"/>
        <v>7992.837760416669</v>
      </c>
      <c r="V26" s="43"/>
      <c r="W26" s="43">
        <v>11</v>
      </c>
      <c r="X26" s="43"/>
      <c r="Y26" s="43"/>
      <c r="Z26" s="43">
        <v>2163</v>
      </c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50">
        <f t="shared" si="7"/>
        <v>0</v>
      </c>
      <c r="AO26" s="43"/>
      <c r="AP26" s="43"/>
      <c r="AQ26" s="51">
        <f t="shared" si="8"/>
        <v>0</v>
      </c>
      <c r="AR26" s="52">
        <f t="shared" si="9"/>
        <v>90084.21536458336</v>
      </c>
      <c r="AS26" s="53">
        <f t="shared" si="10"/>
        <v>90084.21536458336</v>
      </c>
    </row>
    <row r="27" spans="1:45" ht="15.75">
      <c r="A27" s="54">
        <v>10</v>
      </c>
      <c r="B27" s="63"/>
      <c r="C27" s="15" t="s">
        <v>60</v>
      </c>
      <c r="D27" s="15" t="s">
        <v>69</v>
      </c>
      <c r="E27" s="60"/>
      <c r="F27" s="61">
        <v>11</v>
      </c>
      <c r="G27" s="15" t="s">
        <v>64</v>
      </c>
      <c r="H27" s="15">
        <v>4.8600000000000003</v>
      </c>
      <c r="I27" s="43">
        <v>17697</v>
      </c>
      <c r="J27" s="15">
        <f t="shared" si="1"/>
        <v>86007.420000000013</v>
      </c>
      <c r="K27" s="42">
        <f t="shared" si="4"/>
        <v>107509.27500000002</v>
      </c>
      <c r="L27" s="43"/>
      <c r="M27" s="44">
        <f t="shared" si="11"/>
        <v>0</v>
      </c>
      <c r="N27" s="43">
        <v>30</v>
      </c>
      <c r="O27" s="43"/>
      <c r="P27" s="58"/>
      <c r="Q27" s="45">
        <f t="shared" si="5"/>
        <v>179182.12500000003</v>
      </c>
      <c r="R27" s="46">
        <f t="shared" si="6"/>
        <v>0</v>
      </c>
      <c r="S27" s="46">
        <f t="shared" ref="S27:S33" si="12">J27/18*P27</f>
        <v>0</v>
      </c>
      <c r="T27" s="48">
        <f t="shared" si="2"/>
        <v>44795.531250000007</v>
      </c>
      <c r="U27" s="49">
        <f t="shared" si="3"/>
        <v>22397.765625000004</v>
      </c>
      <c r="V27" s="43">
        <v>23</v>
      </c>
      <c r="W27" s="43"/>
      <c r="X27" s="43"/>
      <c r="Y27" s="43">
        <v>4522</v>
      </c>
      <c r="Z27" s="43"/>
      <c r="AA27" s="43"/>
      <c r="AB27" s="43">
        <v>8848</v>
      </c>
      <c r="AC27" s="43"/>
      <c r="AD27" s="43">
        <v>3539</v>
      </c>
      <c r="AE27" s="43"/>
      <c r="AF27" s="43"/>
      <c r="AG27" s="43"/>
      <c r="AH27" s="43">
        <f>(Q27+R27+S27+T27)*35%</f>
        <v>78392.1796875</v>
      </c>
      <c r="AI27" s="43"/>
      <c r="AJ27" s="43"/>
      <c r="AK27" s="43"/>
      <c r="AL27" s="43"/>
      <c r="AM27" s="43"/>
      <c r="AN27" s="50">
        <f t="shared" si="7"/>
        <v>0</v>
      </c>
      <c r="AO27" s="43"/>
      <c r="AP27" s="43"/>
      <c r="AQ27" s="51">
        <f t="shared" si="8"/>
        <v>78392.1796875</v>
      </c>
      <c r="AR27" s="52">
        <f t="shared" si="9"/>
        <v>341676.6015625</v>
      </c>
      <c r="AS27" s="53">
        <f t="shared" si="10"/>
        <v>263284.421875</v>
      </c>
    </row>
    <row r="28" spans="1:45" ht="18.75">
      <c r="A28" s="39">
        <v>11</v>
      </c>
      <c r="B28" s="55"/>
      <c r="C28" s="55" t="s">
        <v>60</v>
      </c>
      <c r="D28" s="55" t="s">
        <v>71</v>
      </c>
      <c r="E28" s="64"/>
      <c r="F28" s="65">
        <v>33</v>
      </c>
      <c r="G28" s="66" t="s">
        <v>62</v>
      </c>
      <c r="H28" s="43">
        <v>5.41</v>
      </c>
      <c r="I28" s="43">
        <v>17697</v>
      </c>
      <c r="J28" s="15">
        <f t="shared" si="1"/>
        <v>95740.77</v>
      </c>
      <c r="K28" s="42">
        <f t="shared" si="4"/>
        <v>119675.96250000001</v>
      </c>
      <c r="L28" s="43"/>
      <c r="M28" s="44">
        <f t="shared" si="11"/>
        <v>0</v>
      </c>
      <c r="N28" s="43">
        <v>8</v>
      </c>
      <c r="O28" s="43">
        <v>15</v>
      </c>
      <c r="P28" s="58"/>
      <c r="Q28" s="45">
        <f t="shared" si="5"/>
        <v>53189.316666666673</v>
      </c>
      <c r="R28" s="46">
        <f t="shared" si="6"/>
        <v>99729.968750000015</v>
      </c>
      <c r="S28" s="46">
        <f t="shared" si="12"/>
        <v>0</v>
      </c>
      <c r="T28" s="48">
        <f t="shared" si="2"/>
        <v>38229.82135416667</v>
      </c>
      <c r="U28" s="49">
        <f t="shared" si="3"/>
        <v>19114.910677083335</v>
      </c>
      <c r="V28" s="43">
        <v>8</v>
      </c>
      <c r="W28" s="43">
        <v>15</v>
      </c>
      <c r="X28" s="43"/>
      <c r="Y28" s="43">
        <v>1966</v>
      </c>
      <c r="Z28" s="43">
        <v>3686</v>
      </c>
      <c r="AA28" s="43"/>
      <c r="AB28" s="43"/>
      <c r="AC28" s="43">
        <v>0</v>
      </c>
      <c r="AD28" s="43"/>
      <c r="AE28" s="43"/>
      <c r="AF28" s="43"/>
      <c r="AG28" s="43">
        <v>76459</v>
      </c>
      <c r="AH28" s="43"/>
      <c r="AI28" s="43"/>
      <c r="AJ28" s="43"/>
      <c r="AK28" s="43"/>
      <c r="AL28" s="43"/>
      <c r="AM28" s="43"/>
      <c r="AN28" s="50">
        <f t="shared" si="7"/>
        <v>0</v>
      </c>
      <c r="AO28" s="43"/>
      <c r="AP28" s="43"/>
      <c r="AQ28" s="51">
        <f t="shared" si="8"/>
        <v>76459</v>
      </c>
      <c r="AR28" s="52">
        <f t="shared" si="9"/>
        <v>292375.01744791667</v>
      </c>
      <c r="AS28" s="53">
        <f t="shared" si="10"/>
        <v>215916.01744791667</v>
      </c>
    </row>
    <row r="29" spans="1:45" ht="15.75">
      <c r="A29" s="54">
        <v>12</v>
      </c>
      <c r="B29" s="62"/>
      <c r="C29" s="15" t="s">
        <v>60</v>
      </c>
      <c r="D29" s="15" t="s">
        <v>72</v>
      </c>
      <c r="E29" s="60"/>
      <c r="F29" s="61">
        <v>14.1</v>
      </c>
      <c r="G29" s="15" t="s">
        <v>73</v>
      </c>
      <c r="H29" s="15">
        <v>4.9000000000000004</v>
      </c>
      <c r="I29" s="43">
        <v>17697</v>
      </c>
      <c r="J29" s="15">
        <f t="shared" si="1"/>
        <v>86715.3</v>
      </c>
      <c r="K29" s="42">
        <f t="shared" si="4"/>
        <v>108394.125</v>
      </c>
      <c r="L29" s="43"/>
      <c r="M29" s="44">
        <f t="shared" si="11"/>
        <v>0</v>
      </c>
      <c r="N29" s="43"/>
      <c r="O29" s="43">
        <v>17</v>
      </c>
      <c r="P29" s="58"/>
      <c r="Q29" s="45">
        <f t="shared" si="5"/>
        <v>0</v>
      </c>
      <c r="R29" s="46">
        <f t="shared" si="6"/>
        <v>102372.22916666666</v>
      </c>
      <c r="S29" s="46">
        <f t="shared" si="12"/>
        <v>0</v>
      </c>
      <c r="T29" s="48">
        <f t="shared" si="2"/>
        <v>25593.057291666664</v>
      </c>
      <c r="U29" s="49">
        <f t="shared" si="3"/>
        <v>12796.528645833332</v>
      </c>
      <c r="V29" s="43"/>
      <c r="W29" s="43"/>
      <c r="X29" s="43"/>
      <c r="Y29" s="43"/>
      <c r="Z29" s="43"/>
      <c r="AA29" s="43"/>
      <c r="AB29" s="43"/>
      <c r="AC29" s="43">
        <v>5309</v>
      </c>
      <c r="AD29" s="43"/>
      <c r="AE29" s="43"/>
      <c r="AF29" s="43"/>
      <c r="AG29" s="43"/>
      <c r="AH29" s="43"/>
      <c r="AI29" s="43"/>
      <c r="AJ29" s="43"/>
      <c r="AK29" s="15"/>
      <c r="AL29" s="15"/>
      <c r="AM29" s="15"/>
      <c r="AN29" s="50">
        <f t="shared" si="7"/>
        <v>0</v>
      </c>
      <c r="AO29" s="43"/>
      <c r="AP29" s="43"/>
      <c r="AQ29" s="51">
        <f t="shared" si="8"/>
        <v>0</v>
      </c>
      <c r="AR29" s="52">
        <f t="shared" si="9"/>
        <v>146070.81510416666</v>
      </c>
      <c r="AS29" s="53">
        <f t="shared" si="10"/>
        <v>146070.81510416666</v>
      </c>
    </row>
    <row r="30" spans="1:45" ht="15.75">
      <c r="A30" s="39">
        <v>13</v>
      </c>
      <c r="B30" s="62"/>
      <c r="C30" s="15" t="s">
        <v>60</v>
      </c>
      <c r="D30" s="15" t="s">
        <v>74</v>
      </c>
      <c r="E30" s="60"/>
      <c r="F30" s="61">
        <v>14.1</v>
      </c>
      <c r="G30" s="15" t="s">
        <v>67</v>
      </c>
      <c r="H30" s="15">
        <v>4.49</v>
      </c>
      <c r="I30" s="43">
        <v>17697</v>
      </c>
      <c r="J30" s="15">
        <f t="shared" si="1"/>
        <v>79459.53</v>
      </c>
      <c r="K30" s="42">
        <f t="shared" si="4"/>
        <v>99324.412500000006</v>
      </c>
      <c r="L30" s="43"/>
      <c r="M30" s="44">
        <f t="shared" si="11"/>
        <v>0</v>
      </c>
      <c r="N30" s="43"/>
      <c r="O30" s="43">
        <v>6</v>
      </c>
      <c r="P30" s="58"/>
      <c r="Q30" s="45">
        <f t="shared" si="5"/>
        <v>0</v>
      </c>
      <c r="R30" s="46">
        <f t="shared" si="6"/>
        <v>33108.137499999997</v>
      </c>
      <c r="S30" s="46">
        <f t="shared" si="12"/>
        <v>0</v>
      </c>
      <c r="T30" s="48">
        <f t="shared" si="2"/>
        <v>8277.0343749999993</v>
      </c>
      <c r="U30" s="49">
        <f t="shared" si="3"/>
        <v>4138.5171875000005</v>
      </c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15"/>
      <c r="AL30" s="15"/>
      <c r="AM30" s="15"/>
      <c r="AN30" s="50">
        <f t="shared" si="7"/>
        <v>0</v>
      </c>
      <c r="AO30" s="43"/>
      <c r="AP30" s="43"/>
      <c r="AQ30" s="51">
        <f t="shared" si="8"/>
        <v>0</v>
      </c>
      <c r="AR30" s="52">
        <f t="shared" si="9"/>
        <v>45523.689062500001</v>
      </c>
      <c r="AS30" s="53">
        <f t="shared" si="10"/>
        <v>45523.689062500001</v>
      </c>
    </row>
    <row r="31" spans="1:45" ht="15.75">
      <c r="A31" s="54">
        <v>14</v>
      </c>
      <c r="B31" s="62"/>
      <c r="C31" s="15" t="s">
        <v>60</v>
      </c>
      <c r="D31" s="15" t="s">
        <v>75</v>
      </c>
      <c r="E31" s="60"/>
      <c r="F31" s="61">
        <v>14.8</v>
      </c>
      <c r="G31" s="15" t="s">
        <v>67</v>
      </c>
      <c r="H31" s="15">
        <v>4.49</v>
      </c>
      <c r="I31" s="43">
        <v>17697</v>
      </c>
      <c r="J31" s="15">
        <f t="shared" si="1"/>
        <v>79459.53</v>
      </c>
      <c r="K31" s="42">
        <f t="shared" si="4"/>
        <v>99324.412500000006</v>
      </c>
      <c r="L31" s="43">
        <v>24</v>
      </c>
      <c r="M31" s="44">
        <f t="shared" si="11"/>
        <v>99324.412500000006</v>
      </c>
      <c r="N31" s="43"/>
      <c r="O31" s="43"/>
      <c r="P31" s="58"/>
      <c r="Q31" s="45">
        <f t="shared" si="5"/>
        <v>0</v>
      </c>
      <c r="R31" s="46">
        <f t="shared" si="6"/>
        <v>0</v>
      </c>
      <c r="S31" s="46">
        <f t="shared" si="12"/>
        <v>0</v>
      </c>
      <c r="T31" s="48">
        <f t="shared" si="2"/>
        <v>24831.103125000001</v>
      </c>
      <c r="U31" s="49">
        <f t="shared" si="3"/>
        <v>12415.551562500001</v>
      </c>
      <c r="V31" s="43"/>
      <c r="W31" s="43"/>
      <c r="X31" s="43"/>
      <c r="Y31" s="43"/>
      <c r="Z31" s="43"/>
      <c r="AA31" s="43"/>
      <c r="AB31" s="43"/>
      <c r="AC31" s="43">
        <v>5309</v>
      </c>
      <c r="AD31" s="43">
        <v>3539</v>
      </c>
      <c r="AE31" s="43"/>
      <c r="AF31" s="43"/>
      <c r="AG31" s="43"/>
      <c r="AH31" s="43"/>
      <c r="AI31" s="43"/>
      <c r="AJ31" s="43"/>
      <c r="AK31" s="43"/>
      <c r="AL31" s="43"/>
      <c r="AM31" s="43"/>
      <c r="AN31" s="50">
        <f t="shared" si="7"/>
        <v>0</v>
      </c>
      <c r="AO31" s="43"/>
      <c r="AP31" s="43"/>
      <c r="AQ31" s="51">
        <f>AG31+AH31+AI31+AN31</f>
        <v>0</v>
      </c>
      <c r="AR31" s="52">
        <f t="shared" si="9"/>
        <v>145419.06718750001</v>
      </c>
      <c r="AS31" s="53">
        <f t="shared" si="10"/>
        <v>145419.06718750001</v>
      </c>
    </row>
    <row r="32" spans="1:45" ht="15.75">
      <c r="A32" s="39">
        <v>15</v>
      </c>
      <c r="B32" s="62"/>
      <c r="C32" s="15" t="s">
        <v>60</v>
      </c>
      <c r="D32" s="15" t="s">
        <v>76</v>
      </c>
      <c r="E32" s="60"/>
      <c r="F32" s="61">
        <v>14</v>
      </c>
      <c r="G32" s="15" t="s">
        <v>64</v>
      </c>
      <c r="H32" s="15">
        <v>4.95</v>
      </c>
      <c r="I32" s="43">
        <v>17697</v>
      </c>
      <c r="J32" s="15">
        <f t="shared" si="1"/>
        <v>87600.150000000009</v>
      </c>
      <c r="K32" s="42">
        <f t="shared" si="4"/>
        <v>109500.18750000001</v>
      </c>
      <c r="L32" s="43">
        <v>1</v>
      </c>
      <c r="M32" s="44">
        <f t="shared" si="11"/>
        <v>4562.5078125000009</v>
      </c>
      <c r="N32" s="43">
        <v>8</v>
      </c>
      <c r="O32" s="43">
        <v>15</v>
      </c>
      <c r="P32" s="58"/>
      <c r="Q32" s="45">
        <f t="shared" si="5"/>
        <v>48666.750000000007</v>
      </c>
      <c r="R32" s="46">
        <f t="shared" si="6"/>
        <v>91250.156250000015</v>
      </c>
      <c r="S32" s="46">
        <f t="shared" si="12"/>
        <v>0</v>
      </c>
      <c r="T32" s="48">
        <f t="shared" si="2"/>
        <v>36119.853515625007</v>
      </c>
      <c r="U32" s="49">
        <f t="shared" si="3"/>
        <v>18059.926757812504</v>
      </c>
      <c r="V32" s="43">
        <v>8</v>
      </c>
      <c r="W32" s="43">
        <v>15</v>
      </c>
      <c r="X32" s="43"/>
      <c r="Y32" s="43">
        <v>1966</v>
      </c>
      <c r="Z32" s="43">
        <v>3686</v>
      </c>
      <c r="AA32" s="43"/>
      <c r="AB32" s="43"/>
      <c r="AC32" s="43"/>
      <c r="AD32" s="43">
        <v>3539</v>
      </c>
      <c r="AE32" s="43"/>
      <c r="AF32" s="43"/>
      <c r="AG32" s="43"/>
      <c r="AH32" s="43"/>
      <c r="AI32" s="43"/>
      <c r="AJ32" s="43"/>
      <c r="AK32" s="43"/>
      <c r="AL32" s="43"/>
      <c r="AM32" s="43"/>
      <c r="AN32" s="50">
        <f t="shared" si="7"/>
        <v>0</v>
      </c>
      <c r="AO32" s="43"/>
      <c r="AP32" s="43"/>
      <c r="AQ32" s="51">
        <f>AG32+AH32+AI32+AN32</f>
        <v>0</v>
      </c>
      <c r="AR32" s="52">
        <f t="shared" si="9"/>
        <v>207850.19433593753</v>
      </c>
      <c r="AS32" s="53">
        <f t="shared" si="10"/>
        <v>207850.19433593753</v>
      </c>
    </row>
    <row r="33" spans="1:45" ht="15.75">
      <c r="A33" s="54">
        <v>16</v>
      </c>
      <c r="B33" s="62"/>
      <c r="C33" s="15" t="s">
        <v>60</v>
      </c>
      <c r="D33" s="15" t="s">
        <v>77</v>
      </c>
      <c r="E33" s="60"/>
      <c r="F33" s="15">
        <v>1</v>
      </c>
      <c r="G33" s="15" t="s">
        <v>67</v>
      </c>
      <c r="H33" s="15">
        <v>4.1399999999999997</v>
      </c>
      <c r="I33" s="43">
        <v>17697</v>
      </c>
      <c r="J33" s="15">
        <f t="shared" si="1"/>
        <v>73265.579999999987</v>
      </c>
      <c r="K33" s="42">
        <f t="shared" si="4"/>
        <v>91581.974999999977</v>
      </c>
      <c r="L33" s="43">
        <v>0</v>
      </c>
      <c r="M33" s="44">
        <f t="shared" si="11"/>
        <v>0</v>
      </c>
      <c r="N33" s="43">
        <v>12</v>
      </c>
      <c r="O33" s="43">
        <v>15</v>
      </c>
      <c r="P33" s="58"/>
      <c r="Q33" s="45">
        <f t="shared" si="5"/>
        <v>61054.649999999987</v>
      </c>
      <c r="R33" s="46">
        <f t="shared" si="6"/>
        <v>76318.312499999985</v>
      </c>
      <c r="S33" s="46">
        <f t="shared" si="12"/>
        <v>0</v>
      </c>
      <c r="T33" s="48">
        <f t="shared" si="2"/>
        <v>34343.240624999991</v>
      </c>
      <c r="U33" s="49">
        <f t="shared" si="3"/>
        <v>17171.620312499996</v>
      </c>
      <c r="V33" s="43"/>
      <c r="W33" s="43"/>
      <c r="X33" s="43"/>
      <c r="Y33" s="43"/>
      <c r="Z33" s="43"/>
      <c r="AA33" s="43"/>
      <c r="AB33" s="43"/>
      <c r="AC33" s="43">
        <v>5309</v>
      </c>
      <c r="AD33" s="43">
        <v>3539</v>
      </c>
      <c r="AE33" s="43"/>
      <c r="AF33" s="43"/>
      <c r="AG33" s="43"/>
      <c r="AH33" s="43"/>
      <c r="AI33" s="43"/>
      <c r="AJ33" s="43"/>
      <c r="AK33" s="43"/>
      <c r="AL33" s="43"/>
      <c r="AM33" s="43"/>
      <c r="AN33" s="50">
        <f t="shared" si="7"/>
        <v>0</v>
      </c>
      <c r="AO33" s="43"/>
      <c r="AP33" s="43"/>
      <c r="AQ33" s="51">
        <f>AG33+AH33+AI33+AN33</f>
        <v>0</v>
      </c>
      <c r="AR33" s="52">
        <f t="shared" si="9"/>
        <v>197735.82343749993</v>
      </c>
      <c r="AS33" s="53">
        <f t="shared" si="10"/>
        <v>197735.82343749993</v>
      </c>
    </row>
    <row r="34" spans="1:45" ht="15.75" customHeight="1">
      <c r="A34" s="54">
        <v>17</v>
      </c>
      <c r="B34" s="62"/>
      <c r="C34" s="41" t="s">
        <v>60</v>
      </c>
      <c r="D34" s="42" t="s">
        <v>61</v>
      </c>
      <c r="E34" s="41"/>
      <c r="F34" s="70">
        <v>20.9</v>
      </c>
      <c r="G34" s="71" t="s">
        <v>62</v>
      </c>
      <c r="H34" s="70">
        <v>5.32</v>
      </c>
      <c r="I34" s="43">
        <v>17697</v>
      </c>
      <c r="J34" s="15">
        <f t="shared" si="1"/>
        <v>94148.040000000008</v>
      </c>
      <c r="K34" s="42">
        <f t="shared" si="4"/>
        <v>117685.05000000002</v>
      </c>
      <c r="L34" s="43"/>
      <c r="M34" s="44">
        <f t="shared" si="11"/>
        <v>0</v>
      </c>
      <c r="N34" s="43"/>
      <c r="O34" s="43">
        <v>5</v>
      </c>
      <c r="P34" s="58"/>
      <c r="Q34" s="45">
        <f t="shared" si="5"/>
        <v>0</v>
      </c>
      <c r="R34" s="46">
        <f t="shared" si="6"/>
        <v>32690.291666666672</v>
      </c>
      <c r="S34" s="46"/>
      <c r="T34" s="48">
        <f t="shared" si="2"/>
        <v>8172.5729166666679</v>
      </c>
      <c r="U34" s="49">
        <f t="shared" si="3"/>
        <v>4086.2864583333344</v>
      </c>
      <c r="V34" s="43"/>
      <c r="W34" s="43">
        <v>5</v>
      </c>
      <c r="X34" s="43"/>
      <c r="Y34" s="43">
        <v>1229</v>
      </c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50">
        <f t="shared" si="7"/>
        <v>0</v>
      </c>
      <c r="AO34" s="43"/>
      <c r="AP34" s="43"/>
      <c r="AQ34" s="51">
        <f>AG34+AH34+AI34+AN34</f>
        <v>0</v>
      </c>
      <c r="AR34" s="52">
        <f t="shared" si="9"/>
        <v>46178.151041666679</v>
      </c>
      <c r="AS34" s="53">
        <f t="shared" si="10"/>
        <v>46178.151041666679</v>
      </c>
    </row>
    <row r="35" spans="1:45" ht="15.75">
      <c r="A35" s="39">
        <v>18</v>
      </c>
      <c r="B35" s="62"/>
      <c r="C35" s="15" t="s">
        <v>60</v>
      </c>
      <c r="D35" s="15" t="s">
        <v>78</v>
      </c>
      <c r="E35" s="60"/>
      <c r="F35" s="61">
        <v>17</v>
      </c>
      <c r="G35" s="15" t="s">
        <v>67</v>
      </c>
      <c r="H35" s="15">
        <v>4.59</v>
      </c>
      <c r="I35" s="43">
        <v>17697</v>
      </c>
      <c r="J35" s="15">
        <f t="shared" si="1"/>
        <v>81229.23</v>
      </c>
      <c r="K35" s="42">
        <f t="shared" si="4"/>
        <v>101536.53749999999</v>
      </c>
      <c r="L35" s="43"/>
      <c r="M35" s="44">
        <f t="shared" si="11"/>
        <v>0</v>
      </c>
      <c r="N35" s="43"/>
      <c r="O35" s="43">
        <v>12</v>
      </c>
      <c r="P35" s="58"/>
      <c r="Q35" s="45">
        <f t="shared" si="5"/>
        <v>0</v>
      </c>
      <c r="R35" s="46">
        <f t="shared" si="6"/>
        <v>67691.024999999994</v>
      </c>
      <c r="S35" s="46">
        <f>J35/18*P35</f>
        <v>0</v>
      </c>
      <c r="T35" s="48">
        <f t="shared" si="2"/>
        <v>16922.756249999999</v>
      </c>
      <c r="U35" s="49">
        <f t="shared" si="3"/>
        <v>8461.3781250000011</v>
      </c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43"/>
      <c r="AN35" s="50">
        <f t="shared" si="7"/>
        <v>0</v>
      </c>
      <c r="AO35" s="43"/>
      <c r="AP35" s="43"/>
      <c r="AQ35" s="51">
        <f>AG35+AH35+AI35+AN35</f>
        <v>0</v>
      </c>
      <c r="AR35" s="52">
        <f t="shared" si="9"/>
        <v>93075.159375000003</v>
      </c>
      <c r="AS35" s="53">
        <f t="shared" si="10"/>
        <v>93075.159375000003</v>
      </c>
    </row>
    <row r="36" spans="1:45" ht="15.75">
      <c r="A36" s="15"/>
      <c r="B36" s="67" t="s">
        <v>79</v>
      </c>
      <c r="C36" s="67"/>
      <c r="D36" s="15"/>
      <c r="E36" s="15"/>
      <c r="F36" s="15"/>
      <c r="G36" s="15"/>
      <c r="H36" s="15"/>
      <c r="I36" s="15"/>
      <c r="J36" s="67">
        <f t="shared" ref="J36:AS36" si="13">SUM(J18:J35)</f>
        <v>1558574.7900000003</v>
      </c>
      <c r="K36" s="67">
        <f t="shared" si="13"/>
        <v>1948218.4875000005</v>
      </c>
      <c r="L36" s="67">
        <f t="shared" si="13"/>
        <v>26</v>
      </c>
      <c r="M36" s="67">
        <f t="shared" si="13"/>
        <v>108606.1203125</v>
      </c>
      <c r="N36" s="67">
        <f t="shared" si="13"/>
        <v>97</v>
      </c>
      <c r="O36" s="67">
        <f t="shared" si="13"/>
        <v>164</v>
      </c>
      <c r="P36" s="67">
        <f t="shared" si="13"/>
        <v>0</v>
      </c>
      <c r="Q36" s="67">
        <f t="shared" si="13"/>
        <v>582034.66666666674</v>
      </c>
      <c r="R36" s="67">
        <f t="shared" si="13"/>
        <v>989508.09166666656</v>
      </c>
      <c r="S36" s="67">
        <f t="shared" si="13"/>
        <v>0</v>
      </c>
      <c r="T36" s="67">
        <f t="shared" si="13"/>
        <v>420037.21966145834</v>
      </c>
      <c r="U36" s="67">
        <f t="shared" si="13"/>
        <v>210018.6098307292</v>
      </c>
      <c r="V36" s="67">
        <f t="shared" si="13"/>
        <v>63</v>
      </c>
      <c r="W36" s="67">
        <f t="shared" si="13"/>
        <v>97</v>
      </c>
      <c r="X36" s="67">
        <f t="shared" si="13"/>
        <v>0</v>
      </c>
      <c r="Y36" s="67">
        <f t="shared" si="13"/>
        <v>14403</v>
      </c>
      <c r="Z36" s="67">
        <f t="shared" si="13"/>
        <v>20546</v>
      </c>
      <c r="AA36" s="67">
        <f t="shared" si="13"/>
        <v>0</v>
      </c>
      <c r="AB36" s="67">
        <f t="shared" si="13"/>
        <v>17696</v>
      </c>
      <c r="AC36" s="67">
        <f t="shared" si="13"/>
        <v>26545</v>
      </c>
      <c r="AD36" s="67">
        <f t="shared" si="13"/>
        <v>24773</v>
      </c>
      <c r="AE36" s="67">
        <f t="shared" si="13"/>
        <v>0</v>
      </c>
      <c r="AF36" s="67">
        <f t="shared" si="13"/>
        <v>0</v>
      </c>
      <c r="AG36" s="67">
        <f t="shared" si="13"/>
        <v>76459</v>
      </c>
      <c r="AH36" s="67">
        <f t="shared" si="13"/>
        <v>170344.3783854167</v>
      </c>
      <c r="AI36" s="67">
        <f t="shared" si="13"/>
        <v>0</v>
      </c>
      <c r="AJ36" s="67">
        <f t="shared" si="13"/>
        <v>0</v>
      </c>
      <c r="AK36" s="67">
        <f t="shared" si="13"/>
        <v>0</v>
      </c>
      <c r="AL36" s="67">
        <f t="shared" si="13"/>
        <v>0</v>
      </c>
      <c r="AM36" s="67"/>
      <c r="AN36" s="67">
        <f t="shared" si="13"/>
        <v>0</v>
      </c>
      <c r="AO36" s="67">
        <f t="shared" si="13"/>
        <v>0</v>
      </c>
      <c r="AP36" s="67">
        <f t="shared" si="13"/>
        <v>0</v>
      </c>
      <c r="AQ36" s="67">
        <f t="shared" si="13"/>
        <v>246803.3783854167</v>
      </c>
      <c r="AR36" s="67">
        <f t="shared" si="13"/>
        <v>2660971.0865234369</v>
      </c>
      <c r="AS36" s="67">
        <f t="shared" si="13"/>
        <v>2414167.7081380207</v>
      </c>
    </row>
    <row r="37" spans="1:45" ht="15.75">
      <c r="A37" s="1"/>
      <c r="B37" s="7"/>
      <c r="C37" s="7"/>
      <c r="D37" s="1"/>
      <c r="E37" s="1"/>
      <c r="F37" s="1"/>
      <c r="G37" s="1"/>
      <c r="H37" s="1"/>
      <c r="I37" s="1"/>
      <c r="J37" s="1"/>
      <c r="K37" s="1"/>
      <c r="L37" s="7" t="s">
        <v>80</v>
      </c>
      <c r="M37" s="1"/>
      <c r="N37" s="1"/>
      <c r="O37" s="1"/>
      <c r="P37" s="3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>
      <c r="A38" s="1"/>
      <c r="B38" s="1"/>
      <c r="C38" s="7"/>
      <c r="D38" s="1"/>
      <c r="E38" s="1"/>
      <c r="F38" s="1"/>
      <c r="G38" s="1"/>
      <c r="H38" s="1"/>
      <c r="I38" s="1"/>
      <c r="J38" s="1"/>
      <c r="K38" s="1"/>
      <c r="L38" s="7"/>
      <c r="M38" s="1"/>
      <c r="N38" s="1"/>
      <c r="O38" s="1"/>
      <c r="P38" s="2"/>
      <c r="Q38" s="1"/>
      <c r="R38" s="3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>
      <c r="A39" s="1"/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2"/>
      <c r="O39" s="1"/>
      <c r="P39" s="3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>
      <c r="A40" s="1"/>
      <c r="B40" s="7" t="s">
        <v>81</v>
      </c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2"/>
      <c r="O40" s="1"/>
      <c r="P40" s="3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>
      <c r="A41" s="1"/>
      <c r="B41" s="7" t="s">
        <v>82</v>
      </c>
      <c r="C41" s="1"/>
      <c r="E41" s="1"/>
      <c r="F41" s="1"/>
      <c r="G41" s="1"/>
      <c r="H41" s="1"/>
      <c r="I41" s="1"/>
      <c r="J41" s="1"/>
      <c r="K41" s="1"/>
      <c r="L41" s="1"/>
      <c r="M41" s="1"/>
      <c r="N41" s="2"/>
      <c r="O41" s="1"/>
      <c r="P41" s="3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>
        <f>M36+Q36+R36+T36+U36+Y36+Z36+AB36+AC36+AD36+AH36+AN36</f>
        <v>2584512.0865234374</v>
      </c>
      <c r="AS41" s="1"/>
    </row>
    <row r="42" spans="1:45" ht="15.75">
      <c r="B42" s="7" t="s">
        <v>83</v>
      </c>
      <c r="C42" s="1"/>
      <c r="N42" s="68"/>
      <c r="P42" s="69"/>
    </row>
    <row r="43" spans="1:45" ht="15.75">
      <c r="B43" s="7" t="s">
        <v>80</v>
      </c>
      <c r="C43" s="1"/>
      <c r="N43" s="68"/>
      <c r="P43" s="69"/>
    </row>
    <row r="44" spans="1:45" ht="15.75">
      <c r="C44" s="1"/>
      <c r="N44" s="68"/>
      <c r="P44" s="69"/>
    </row>
  </sheetData>
  <mergeCells count="53">
    <mergeCell ref="Q11:S11"/>
    <mergeCell ref="A11:A16"/>
    <mergeCell ref="B11:B16"/>
    <mergeCell ref="C11:C16"/>
    <mergeCell ref="D11:D16"/>
    <mergeCell ref="E11:E16"/>
    <mergeCell ref="F11:F16"/>
    <mergeCell ref="G11:G16"/>
    <mergeCell ref="H11:H16"/>
    <mergeCell ref="I11:I16"/>
    <mergeCell ref="J11:J16"/>
    <mergeCell ref="N11:P11"/>
    <mergeCell ref="T11:T16"/>
    <mergeCell ref="U11:U16"/>
    <mergeCell ref="V11:AA11"/>
    <mergeCell ref="AB11:AC11"/>
    <mergeCell ref="AD11:AD16"/>
    <mergeCell ref="Y12:AA13"/>
    <mergeCell ref="AB12:AC13"/>
    <mergeCell ref="AA14:AA16"/>
    <mergeCell ref="AB15:AB16"/>
    <mergeCell ref="AS11:AS16"/>
    <mergeCell ref="L12:L16"/>
    <mergeCell ref="M12:M16"/>
    <mergeCell ref="N12:N16"/>
    <mergeCell ref="O12:O16"/>
    <mergeCell ref="P12:P16"/>
    <mergeCell ref="Q12:Q16"/>
    <mergeCell ref="R12:R16"/>
    <mergeCell ref="S12:S16"/>
    <mergeCell ref="V12:X13"/>
    <mergeCell ref="AF11:AI11"/>
    <mergeCell ref="AJ11:AL11"/>
    <mergeCell ref="AN11:AN16"/>
    <mergeCell ref="AO11:AP11"/>
    <mergeCell ref="AQ11:AQ16"/>
    <mergeCell ref="AR11:AR16"/>
    <mergeCell ref="AP12:AP16"/>
    <mergeCell ref="V14:V16"/>
    <mergeCell ref="W14:W16"/>
    <mergeCell ref="X14:X16"/>
    <mergeCell ref="Y14:Y16"/>
    <mergeCell ref="Z14:Z16"/>
    <mergeCell ref="AF12:AF16"/>
    <mergeCell ref="AG12:AG16"/>
    <mergeCell ref="AH12:AH16"/>
    <mergeCell ref="AI12:AI16"/>
    <mergeCell ref="AE11:AE16"/>
    <mergeCell ref="AC15:AC16"/>
    <mergeCell ref="AJ12:AJ16"/>
    <mergeCell ref="AK12:AK16"/>
    <mergeCell ref="AL12:AL16"/>
    <mergeCell ref="AO12:AO16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32"/>
  <sheetViews>
    <sheetView tabSelected="1" topLeftCell="A7" workbookViewId="0">
      <selection activeCell="B8" sqref="B8"/>
    </sheetView>
  </sheetViews>
  <sheetFormatPr defaultRowHeight="15"/>
  <sheetData>
    <row r="1" spans="1:19">
      <c r="A1" s="139" t="s">
        <v>84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</row>
    <row r="2" spans="1:19">
      <c r="A2" s="139" t="s">
        <v>85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</row>
    <row r="3" spans="1:19">
      <c r="A3" s="139"/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</row>
    <row r="4" spans="1:19">
      <c r="A4" s="139"/>
      <c r="B4" s="139"/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40"/>
      <c r="P4" s="140"/>
      <c r="Q4" s="140"/>
      <c r="R4" s="140"/>
      <c r="S4" s="139"/>
    </row>
    <row r="5" spans="1:19" ht="15.75">
      <c r="A5" s="139"/>
      <c r="B5" s="140"/>
      <c r="C5" s="141" t="s">
        <v>86</v>
      </c>
      <c r="D5" s="141"/>
      <c r="E5" s="141"/>
      <c r="F5" s="141"/>
      <c r="G5" s="141"/>
      <c r="H5" s="141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</row>
    <row r="6" spans="1:19" ht="15.75">
      <c r="A6" s="139"/>
      <c r="B6" s="140"/>
      <c r="C6" s="141" t="s">
        <v>87</v>
      </c>
      <c r="D6" s="141"/>
      <c r="E6" s="141"/>
      <c r="F6" s="141"/>
      <c r="G6" s="141"/>
      <c r="H6" s="141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</row>
    <row r="7" spans="1:19">
      <c r="A7" s="139"/>
      <c r="B7" s="140"/>
      <c r="C7" s="140"/>
      <c r="D7" s="140" t="s">
        <v>88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</row>
    <row r="8" spans="1:19">
      <c r="A8" s="139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</row>
    <row r="9" spans="1:19">
      <c r="A9" s="142" t="s">
        <v>89</v>
      </c>
      <c r="B9" s="143" t="s">
        <v>90</v>
      </c>
      <c r="C9" s="144" t="s">
        <v>91</v>
      </c>
      <c r="D9" s="145" t="s">
        <v>92</v>
      </c>
      <c r="E9" s="144" t="s">
        <v>93</v>
      </c>
      <c r="F9" s="145" t="s">
        <v>94</v>
      </c>
      <c r="G9" s="145" t="s">
        <v>95</v>
      </c>
      <c r="H9" s="145" t="s">
        <v>96</v>
      </c>
      <c r="I9" s="144" t="s">
        <v>97</v>
      </c>
      <c r="J9" s="145" t="s">
        <v>25</v>
      </c>
      <c r="K9" s="144" t="s">
        <v>98</v>
      </c>
      <c r="L9" s="143" t="s">
        <v>99</v>
      </c>
      <c r="M9" s="143" t="s">
        <v>100</v>
      </c>
      <c r="N9" s="146"/>
      <c r="O9" s="147" t="s">
        <v>21</v>
      </c>
      <c r="P9" s="143" t="s">
        <v>101</v>
      </c>
      <c r="Q9" s="148">
        <v>0.1</v>
      </c>
      <c r="R9" s="143" t="s">
        <v>102</v>
      </c>
      <c r="S9" s="149" t="s">
        <v>103</v>
      </c>
    </row>
    <row r="10" spans="1:19">
      <c r="A10" s="150"/>
      <c r="B10" s="151" t="s">
        <v>104</v>
      </c>
      <c r="C10" s="152"/>
      <c r="D10" s="153"/>
      <c r="E10" s="152"/>
      <c r="F10" s="153"/>
      <c r="G10" s="153"/>
      <c r="H10" s="153"/>
      <c r="I10" s="152"/>
      <c r="J10" s="153"/>
      <c r="K10" s="152" t="s">
        <v>105</v>
      </c>
      <c r="L10" s="154"/>
      <c r="M10" s="151" t="s">
        <v>106</v>
      </c>
      <c r="N10" s="151"/>
      <c r="O10" s="154"/>
      <c r="P10" s="154"/>
      <c r="Q10" s="155" t="s">
        <v>107</v>
      </c>
      <c r="R10" s="151" t="s">
        <v>108</v>
      </c>
      <c r="S10" s="149"/>
    </row>
    <row r="11" spans="1:19">
      <c r="A11" s="156">
        <v>1</v>
      </c>
      <c r="B11" s="156"/>
      <c r="C11" s="156" t="s">
        <v>109</v>
      </c>
      <c r="D11" s="156" t="s">
        <v>60</v>
      </c>
      <c r="E11" s="157">
        <v>20.9</v>
      </c>
      <c r="F11" s="156">
        <v>4</v>
      </c>
      <c r="G11" s="156" t="s">
        <v>110</v>
      </c>
      <c r="H11" s="158" t="s">
        <v>111</v>
      </c>
      <c r="I11" s="159">
        <v>5.74</v>
      </c>
      <c r="J11" s="156">
        <v>17697</v>
      </c>
      <c r="K11" s="156">
        <v>1</v>
      </c>
      <c r="L11" s="160">
        <f>K11*J11*I11</f>
        <v>101580.78</v>
      </c>
      <c r="M11" s="160">
        <f>L11*25%</f>
        <v>25395.195</v>
      </c>
      <c r="N11" s="160">
        <f>(L11+M11)*1.25</f>
        <v>158719.96875</v>
      </c>
      <c r="O11" s="160"/>
      <c r="P11" s="160"/>
      <c r="Q11" s="160">
        <f>N11*10%</f>
        <v>15871.996875000001</v>
      </c>
      <c r="R11" s="160">
        <f>N11+Q11</f>
        <v>174591.96562500001</v>
      </c>
      <c r="S11" s="161">
        <f>L11+M11</f>
        <v>126975.97500000001</v>
      </c>
    </row>
    <row r="12" spans="1:19">
      <c r="A12" s="156">
        <v>2</v>
      </c>
      <c r="B12" s="156"/>
      <c r="C12" s="162" t="s">
        <v>112</v>
      </c>
      <c r="D12" s="156" t="s">
        <v>60</v>
      </c>
      <c r="E12" s="157">
        <v>14</v>
      </c>
      <c r="F12" s="156">
        <v>5</v>
      </c>
      <c r="G12" s="156" t="s">
        <v>110</v>
      </c>
      <c r="H12" s="156">
        <v>4</v>
      </c>
      <c r="I12" s="159">
        <v>5.17</v>
      </c>
      <c r="J12" s="156">
        <v>17697</v>
      </c>
      <c r="K12" s="156">
        <v>0.5</v>
      </c>
      <c r="L12" s="160">
        <f>K12*J12*I12</f>
        <v>45746.745000000003</v>
      </c>
      <c r="M12" s="160">
        <f>L12*25%</f>
        <v>11436.686250000001</v>
      </c>
      <c r="N12" s="160">
        <f t="shared" ref="N12:N17" si="0">(L12+M12)*1.25</f>
        <v>71479.2890625</v>
      </c>
      <c r="O12" s="160"/>
      <c r="P12" s="160"/>
      <c r="Q12" s="160">
        <f t="shared" ref="Q12:Q17" si="1">N12*10%</f>
        <v>7147.9289062500002</v>
      </c>
      <c r="R12" s="160">
        <f t="shared" ref="R12:R17" si="2">N12+Q12</f>
        <v>78627.217968750003</v>
      </c>
      <c r="S12" s="161">
        <f t="shared" ref="S12:S17" si="3">L12+M12</f>
        <v>57183.431250000001</v>
      </c>
    </row>
    <row r="13" spans="1:19">
      <c r="A13" s="156">
        <v>3</v>
      </c>
      <c r="B13" s="156"/>
      <c r="C13" s="162" t="s">
        <v>113</v>
      </c>
      <c r="D13" s="156" t="s">
        <v>60</v>
      </c>
      <c r="E13" s="157">
        <v>20.07</v>
      </c>
      <c r="F13" s="156">
        <v>5</v>
      </c>
      <c r="G13" s="156" t="s">
        <v>110</v>
      </c>
      <c r="H13" s="156">
        <v>4</v>
      </c>
      <c r="I13" s="159">
        <v>5.47</v>
      </c>
      <c r="J13" s="156">
        <v>17697</v>
      </c>
      <c r="K13" s="156">
        <v>0.5</v>
      </c>
      <c r="L13" s="160">
        <f>K13*J13*I13</f>
        <v>48401.294999999998</v>
      </c>
      <c r="M13" s="160">
        <f>L13*25%</f>
        <v>12100.32375</v>
      </c>
      <c r="N13" s="160">
        <f t="shared" si="0"/>
        <v>75627.0234375</v>
      </c>
      <c r="O13" s="160"/>
      <c r="P13" s="160"/>
      <c r="Q13" s="160">
        <f t="shared" si="1"/>
        <v>7562.7023437500002</v>
      </c>
      <c r="R13" s="160">
        <f t="shared" si="2"/>
        <v>83189.725781250003</v>
      </c>
      <c r="S13" s="161">
        <f t="shared" si="3"/>
        <v>60501.618749999994</v>
      </c>
    </row>
    <row r="14" spans="1:19">
      <c r="A14" s="156">
        <v>4</v>
      </c>
      <c r="B14" s="156"/>
      <c r="C14" s="156" t="s">
        <v>114</v>
      </c>
      <c r="D14" s="156" t="s">
        <v>60</v>
      </c>
      <c r="E14" s="159">
        <v>13.1</v>
      </c>
      <c r="F14" s="156">
        <v>10</v>
      </c>
      <c r="G14" s="156" t="s">
        <v>115</v>
      </c>
      <c r="H14" s="156">
        <v>4</v>
      </c>
      <c r="I14" s="159">
        <v>4.95</v>
      </c>
      <c r="J14" s="156">
        <v>17697</v>
      </c>
      <c r="K14" s="156">
        <v>1</v>
      </c>
      <c r="L14" s="160">
        <f t="shared" ref="L14:L16" si="4">K14*J14*I14</f>
        <v>87600.150000000009</v>
      </c>
      <c r="M14" s="160">
        <f t="shared" ref="M14:M16" si="5">L14*25%</f>
        <v>21900.037500000002</v>
      </c>
      <c r="N14" s="160">
        <f t="shared" si="0"/>
        <v>136875.23437500003</v>
      </c>
      <c r="O14" s="160"/>
      <c r="P14" s="160"/>
      <c r="Q14" s="160">
        <f t="shared" si="1"/>
        <v>13687.523437500004</v>
      </c>
      <c r="R14" s="160">
        <f t="shared" si="2"/>
        <v>150562.75781250003</v>
      </c>
      <c r="S14" s="161">
        <f t="shared" si="3"/>
        <v>109500.18750000001</v>
      </c>
    </row>
    <row r="15" spans="1:19">
      <c r="A15" s="156">
        <v>5</v>
      </c>
      <c r="B15" s="156"/>
      <c r="C15" s="156" t="s">
        <v>116</v>
      </c>
      <c r="D15" s="156" t="s">
        <v>60</v>
      </c>
      <c r="E15" s="159">
        <v>18</v>
      </c>
      <c r="F15" s="156">
        <v>10</v>
      </c>
      <c r="G15" s="156" t="s">
        <v>117</v>
      </c>
      <c r="H15" s="156">
        <v>4</v>
      </c>
      <c r="I15" s="159">
        <v>4.0599999999999996</v>
      </c>
      <c r="J15" s="156">
        <v>17697</v>
      </c>
      <c r="K15" s="156">
        <v>1</v>
      </c>
      <c r="L15" s="160">
        <f t="shared" si="4"/>
        <v>71849.819999999992</v>
      </c>
      <c r="M15" s="160">
        <f t="shared" si="5"/>
        <v>17962.454999999998</v>
      </c>
      <c r="N15" s="160">
        <f t="shared" si="0"/>
        <v>112265.34375</v>
      </c>
      <c r="O15" s="160"/>
      <c r="P15" s="160"/>
      <c r="Q15" s="160">
        <f t="shared" si="1"/>
        <v>11226.534375000001</v>
      </c>
      <c r="R15" s="160">
        <f>N15+Q15</f>
        <v>123491.878125</v>
      </c>
      <c r="S15" s="161">
        <f t="shared" si="3"/>
        <v>89812.274999999994</v>
      </c>
    </row>
    <row r="16" spans="1:19">
      <c r="A16" s="156">
        <v>6</v>
      </c>
      <c r="B16" s="156"/>
      <c r="C16" s="159" t="s">
        <v>118</v>
      </c>
      <c r="D16" s="159" t="s">
        <v>60</v>
      </c>
      <c r="E16" s="159">
        <v>14.08</v>
      </c>
      <c r="F16" s="159">
        <v>10</v>
      </c>
      <c r="G16" s="159" t="s">
        <v>117</v>
      </c>
      <c r="H16" s="159">
        <v>4</v>
      </c>
      <c r="I16" s="157">
        <v>4</v>
      </c>
      <c r="J16" s="159">
        <v>17697</v>
      </c>
      <c r="K16" s="159">
        <v>0.5</v>
      </c>
      <c r="L16" s="163">
        <f t="shared" si="4"/>
        <v>35394</v>
      </c>
      <c r="M16" s="163">
        <f t="shared" si="5"/>
        <v>8848.5</v>
      </c>
      <c r="N16" s="160">
        <f t="shared" si="0"/>
        <v>55303.125</v>
      </c>
      <c r="O16" s="163"/>
      <c r="P16" s="163"/>
      <c r="Q16" s="160">
        <f t="shared" si="1"/>
        <v>5530.3125</v>
      </c>
      <c r="R16" s="160">
        <f t="shared" si="2"/>
        <v>60833.4375</v>
      </c>
      <c r="S16" s="161">
        <f t="shared" si="3"/>
        <v>44242.5</v>
      </c>
    </row>
    <row r="17" spans="1:19">
      <c r="A17" s="156">
        <v>7</v>
      </c>
      <c r="B17" s="156"/>
      <c r="C17" s="164" t="s">
        <v>119</v>
      </c>
      <c r="D17" s="156" t="s">
        <v>120</v>
      </c>
      <c r="E17" s="159">
        <v>5.05</v>
      </c>
      <c r="F17" s="156">
        <v>10</v>
      </c>
      <c r="G17" s="165" t="s">
        <v>121</v>
      </c>
      <c r="H17" s="165">
        <v>4</v>
      </c>
      <c r="I17" s="159">
        <v>3.49</v>
      </c>
      <c r="J17" s="156">
        <v>17697</v>
      </c>
      <c r="K17" s="156">
        <v>1</v>
      </c>
      <c r="L17" s="160">
        <f>K17*J17*I17</f>
        <v>61762.530000000006</v>
      </c>
      <c r="M17" s="160">
        <f>L17*25%</f>
        <v>15440.632500000002</v>
      </c>
      <c r="N17" s="160">
        <f t="shared" si="0"/>
        <v>96503.953125</v>
      </c>
      <c r="O17" s="160"/>
      <c r="P17" s="160"/>
      <c r="Q17" s="160">
        <f t="shared" si="1"/>
        <v>9650.3953125000007</v>
      </c>
      <c r="R17" s="160">
        <f t="shared" si="2"/>
        <v>106154.3484375</v>
      </c>
      <c r="S17" s="161">
        <f t="shared" si="3"/>
        <v>77203.162500000006</v>
      </c>
    </row>
    <row r="18" spans="1:19">
      <c r="A18" s="156">
        <v>8</v>
      </c>
      <c r="B18" s="159"/>
      <c r="C18" s="166" t="s">
        <v>122</v>
      </c>
      <c r="D18" s="159" t="s">
        <v>60</v>
      </c>
      <c r="E18" s="159">
        <v>24.1</v>
      </c>
      <c r="F18" s="159">
        <v>10</v>
      </c>
      <c r="G18" s="159" t="s">
        <v>123</v>
      </c>
      <c r="H18" s="159">
        <v>1</v>
      </c>
      <c r="I18" s="159">
        <v>3.25</v>
      </c>
      <c r="J18" s="159">
        <v>17697</v>
      </c>
      <c r="K18" s="159">
        <v>0.5</v>
      </c>
      <c r="L18" s="163">
        <f t="shared" ref="L18:L26" si="6">K18*J18*I18</f>
        <v>28757.625</v>
      </c>
      <c r="M18" s="163"/>
      <c r="N18" s="163">
        <f>L18</f>
        <v>28757.625</v>
      </c>
      <c r="O18" s="163"/>
      <c r="P18" s="163"/>
      <c r="Q18" s="163">
        <f t="shared" ref="Q18:Q26" si="7">(L18+M18)*10%</f>
        <v>2875.7625000000003</v>
      </c>
      <c r="R18" s="160">
        <f t="shared" ref="R18:R26" si="8">L18+M18+O18+P18+Q18</f>
        <v>31633.387500000001</v>
      </c>
      <c r="S18" s="167"/>
    </row>
    <row r="19" spans="1:19">
      <c r="A19" s="156">
        <v>9</v>
      </c>
      <c r="B19" s="156"/>
      <c r="C19" s="164" t="s">
        <v>124</v>
      </c>
      <c r="D19" s="156" t="s">
        <v>60</v>
      </c>
      <c r="E19" s="157">
        <v>18</v>
      </c>
      <c r="F19" s="156">
        <v>10</v>
      </c>
      <c r="G19" s="156" t="s">
        <v>125</v>
      </c>
      <c r="H19" s="156">
        <v>2</v>
      </c>
      <c r="I19" s="159">
        <v>4.6100000000000003</v>
      </c>
      <c r="J19" s="156">
        <v>17697</v>
      </c>
      <c r="K19" s="156">
        <v>0.5</v>
      </c>
      <c r="L19" s="160">
        <f t="shared" si="6"/>
        <v>40791.585000000006</v>
      </c>
      <c r="M19" s="160">
        <f t="shared" ref="M19" si="9">L19*25%</f>
        <v>10197.896250000002</v>
      </c>
      <c r="N19" s="160">
        <f>L19+M19</f>
        <v>50989.481250000012</v>
      </c>
      <c r="O19" s="160"/>
      <c r="P19" s="160"/>
      <c r="Q19" s="160">
        <f t="shared" si="7"/>
        <v>5098.9481250000017</v>
      </c>
      <c r="R19" s="160">
        <f>L19+M19+O19+P19+Q19</f>
        <v>56088.429375000014</v>
      </c>
      <c r="S19" s="161">
        <f>L19+M19</f>
        <v>50989.481250000012</v>
      </c>
    </row>
    <row r="20" spans="1:19">
      <c r="A20" s="156">
        <v>10</v>
      </c>
      <c r="B20" s="156"/>
      <c r="C20" s="156" t="s">
        <v>126</v>
      </c>
      <c r="D20" s="156" t="s">
        <v>120</v>
      </c>
      <c r="E20" s="159">
        <v>2.4</v>
      </c>
      <c r="F20" s="156">
        <v>13</v>
      </c>
      <c r="G20" s="156" t="s">
        <v>127</v>
      </c>
      <c r="H20" s="156"/>
      <c r="I20" s="159">
        <v>3.39</v>
      </c>
      <c r="J20" s="156">
        <v>17697</v>
      </c>
      <c r="K20" s="156">
        <v>1</v>
      </c>
      <c r="L20" s="160">
        <f t="shared" si="6"/>
        <v>59992.83</v>
      </c>
      <c r="M20" s="160">
        <v>0</v>
      </c>
      <c r="N20" s="160">
        <f>L20</f>
        <v>59992.83</v>
      </c>
      <c r="O20" s="160">
        <v>5309</v>
      </c>
      <c r="P20" s="160"/>
      <c r="Q20" s="160">
        <f t="shared" si="7"/>
        <v>5999.2830000000004</v>
      </c>
      <c r="R20" s="160">
        <f>L20+M20+O20+P20+Q20</f>
        <v>71301.112999999998</v>
      </c>
      <c r="S20" s="161"/>
    </row>
    <row r="21" spans="1:19">
      <c r="A21" s="156">
        <v>11</v>
      </c>
      <c r="B21" s="156"/>
      <c r="C21" s="156" t="s">
        <v>128</v>
      </c>
      <c r="D21" s="156"/>
      <c r="E21" s="159"/>
      <c r="F21" s="156" t="s">
        <v>129</v>
      </c>
      <c r="G21" s="156"/>
      <c r="H21" s="156"/>
      <c r="I21" s="156">
        <v>2.77</v>
      </c>
      <c r="J21" s="156">
        <v>17697</v>
      </c>
      <c r="K21" s="156">
        <v>3</v>
      </c>
      <c r="L21" s="160">
        <f t="shared" si="6"/>
        <v>147062.07</v>
      </c>
      <c r="M21" s="160"/>
      <c r="N21" s="160">
        <f t="shared" ref="N21:N26" si="10">L21</f>
        <v>147062.07</v>
      </c>
      <c r="O21" s="160"/>
      <c r="P21" s="160">
        <f>L21*50%</f>
        <v>73531.035000000003</v>
      </c>
      <c r="Q21" s="160">
        <f t="shared" si="7"/>
        <v>14706.207000000002</v>
      </c>
      <c r="R21" s="160">
        <f t="shared" si="8"/>
        <v>235299.31200000001</v>
      </c>
      <c r="S21" s="161"/>
    </row>
    <row r="22" spans="1:19">
      <c r="A22" s="156">
        <v>12</v>
      </c>
      <c r="B22" s="156"/>
      <c r="C22" s="156" t="s">
        <v>130</v>
      </c>
      <c r="D22" s="156"/>
      <c r="E22" s="156"/>
      <c r="F22" s="156" t="s">
        <v>131</v>
      </c>
      <c r="G22" s="156"/>
      <c r="H22" s="156"/>
      <c r="I22" s="156">
        <v>2.81</v>
      </c>
      <c r="J22" s="156">
        <v>17697</v>
      </c>
      <c r="K22" s="156">
        <v>1</v>
      </c>
      <c r="L22" s="160">
        <f t="shared" si="6"/>
        <v>49728.57</v>
      </c>
      <c r="M22" s="160"/>
      <c r="N22" s="160">
        <f t="shared" si="10"/>
        <v>49728.57</v>
      </c>
      <c r="O22" s="160"/>
      <c r="P22" s="160"/>
      <c r="Q22" s="160">
        <f t="shared" si="7"/>
        <v>4972.857</v>
      </c>
      <c r="R22" s="160">
        <f t="shared" si="8"/>
        <v>54701.426999999996</v>
      </c>
      <c r="S22" s="161"/>
    </row>
    <row r="23" spans="1:19">
      <c r="A23" s="156">
        <v>13</v>
      </c>
      <c r="B23" s="156"/>
      <c r="C23" s="156" t="s">
        <v>132</v>
      </c>
      <c r="D23" s="156"/>
      <c r="E23" s="156"/>
      <c r="F23" s="156" t="s">
        <v>129</v>
      </c>
      <c r="G23" s="156"/>
      <c r="H23" s="156"/>
      <c r="I23" s="156">
        <v>2.77</v>
      </c>
      <c r="J23" s="156">
        <v>17697</v>
      </c>
      <c r="K23" s="156">
        <v>6</v>
      </c>
      <c r="L23" s="160">
        <f t="shared" si="6"/>
        <v>294124.14</v>
      </c>
      <c r="M23" s="160"/>
      <c r="N23" s="160">
        <f t="shared" si="10"/>
        <v>294124.14</v>
      </c>
      <c r="O23" s="160"/>
      <c r="P23" s="160">
        <f>J23*K23*20%</f>
        <v>21236.400000000001</v>
      </c>
      <c r="Q23" s="160">
        <f t="shared" si="7"/>
        <v>29412.414000000004</v>
      </c>
      <c r="R23" s="160">
        <f>L23+M23+O23+P23+Q23</f>
        <v>344772.95400000003</v>
      </c>
      <c r="S23" s="161"/>
    </row>
    <row r="24" spans="1:19">
      <c r="A24" s="156">
        <v>14</v>
      </c>
      <c r="B24" s="156"/>
      <c r="C24" s="156" t="s">
        <v>133</v>
      </c>
      <c r="D24" s="156"/>
      <c r="E24" s="156"/>
      <c r="F24" s="156" t="s">
        <v>129</v>
      </c>
      <c r="G24" s="156"/>
      <c r="H24" s="156"/>
      <c r="I24" s="156">
        <v>2.77</v>
      </c>
      <c r="J24" s="156">
        <v>17697</v>
      </c>
      <c r="K24" s="156">
        <v>1</v>
      </c>
      <c r="L24" s="160">
        <f t="shared" si="6"/>
        <v>49020.69</v>
      </c>
      <c r="M24" s="160"/>
      <c r="N24" s="160">
        <f t="shared" si="10"/>
        <v>49020.69</v>
      </c>
      <c r="O24" s="160"/>
      <c r="P24" s="160"/>
      <c r="Q24" s="160">
        <f t="shared" si="7"/>
        <v>4902.0690000000004</v>
      </c>
      <c r="R24" s="160">
        <f t="shared" si="8"/>
        <v>53922.759000000005</v>
      </c>
      <c r="S24" s="161"/>
    </row>
    <row r="25" spans="1:19">
      <c r="A25" s="156">
        <v>15</v>
      </c>
      <c r="B25" s="156"/>
      <c r="C25" s="156" t="s">
        <v>134</v>
      </c>
      <c r="D25" s="156"/>
      <c r="E25" s="156"/>
      <c r="F25" s="156" t="s">
        <v>129</v>
      </c>
      <c r="G25" s="156"/>
      <c r="H25" s="156"/>
      <c r="I25" s="156">
        <v>2.77</v>
      </c>
      <c r="J25" s="156">
        <v>17697</v>
      </c>
      <c r="K25" s="156">
        <v>1</v>
      </c>
      <c r="L25" s="160">
        <f t="shared" si="6"/>
        <v>49020.69</v>
      </c>
      <c r="M25" s="160"/>
      <c r="N25" s="160">
        <f t="shared" si="10"/>
        <v>49020.69</v>
      </c>
      <c r="O25" s="160"/>
      <c r="P25" s="160"/>
      <c r="Q25" s="160">
        <f t="shared" si="7"/>
        <v>4902.0690000000004</v>
      </c>
      <c r="R25" s="160">
        <f t="shared" si="8"/>
        <v>53922.759000000005</v>
      </c>
      <c r="S25" s="161"/>
    </row>
    <row r="26" spans="1:19">
      <c r="A26" s="156">
        <v>16</v>
      </c>
      <c r="B26" s="156"/>
      <c r="C26" s="156" t="s">
        <v>135</v>
      </c>
      <c r="D26" s="156"/>
      <c r="E26" s="156"/>
      <c r="F26" s="156" t="s">
        <v>131</v>
      </c>
      <c r="G26" s="156"/>
      <c r="H26" s="156"/>
      <c r="I26" s="156">
        <v>2.81</v>
      </c>
      <c r="J26" s="156">
        <v>17697</v>
      </c>
      <c r="K26" s="156">
        <v>4</v>
      </c>
      <c r="L26" s="160">
        <f t="shared" si="6"/>
        <v>198914.28</v>
      </c>
      <c r="M26" s="160"/>
      <c r="N26" s="160">
        <f t="shared" si="10"/>
        <v>198914.28</v>
      </c>
      <c r="O26" s="160"/>
      <c r="P26" s="160">
        <f>L26*50%</f>
        <v>99457.14</v>
      </c>
      <c r="Q26" s="160">
        <f t="shared" si="7"/>
        <v>19891.428</v>
      </c>
      <c r="R26" s="160">
        <f t="shared" si="8"/>
        <v>318262.848</v>
      </c>
      <c r="S26" s="161"/>
    </row>
    <row r="27" spans="1:19">
      <c r="A27" s="168"/>
      <c r="B27" s="156"/>
      <c r="C27" s="143" t="s">
        <v>4</v>
      </c>
      <c r="D27" s="156"/>
      <c r="E27" s="156"/>
      <c r="F27" s="156"/>
      <c r="G27" s="156"/>
      <c r="H27" s="156"/>
      <c r="I27" s="156"/>
      <c r="J27" s="156"/>
      <c r="K27" s="169">
        <f>SUM(K11:K26)</f>
        <v>23.5</v>
      </c>
      <c r="L27" s="143">
        <f t="shared" ref="L27:M27" si="11">SUM(L11:L26)</f>
        <v>1369747.8</v>
      </c>
      <c r="M27" s="143">
        <f t="shared" si="11"/>
        <v>123281.72625000002</v>
      </c>
      <c r="N27" s="170">
        <f>SUM(N11:N26)</f>
        <v>1634384.3137499997</v>
      </c>
      <c r="O27" s="143">
        <f t="shared" ref="O27:Q27" si="12">SUM(O11:O26)</f>
        <v>5309</v>
      </c>
      <c r="P27" s="143">
        <f t="shared" si="12"/>
        <v>194224.57500000001</v>
      </c>
      <c r="Q27" s="143">
        <f t="shared" si="12"/>
        <v>163438.43137499999</v>
      </c>
      <c r="R27" s="170">
        <f>SUM(R11:R26)</f>
        <v>1997356.3201250003</v>
      </c>
      <c r="S27" s="143">
        <f t="shared" ref="S27" si="13">SUM(S11:S26)</f>
        <v>616408.63125000009</v>
      </c>
    </row>
    <row r="28" spans="1:19">
      <c r="A28" s="139"/>
      <c r="B28" s="140"/>
      <c r="C28" s="171" t="s">
        <v>83</v>
      </c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140"/>
      <c r="R28" s="140"/>
      <c r="S28" s="140"/>
    </row>
    <row r="29" spans="1:19">
      <c r="A29" s="139"/>
      <c r="B29" s="140"/>
      <c r="C29" s="171" t="s">
        <v>136</v>
      </c>
      <c r="D29" s="140"/>
      <c r="E29" s="140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72">
        <f>N27+O27+P27+Q27</f>
        <v>1997356.3201249996</v>
      </c>
      <c r="S29" s="140"/>
    </row>
    <row r="30" spans="1:19">
      <c r="A30" s="139"/>
      <c r="B30" s="139"/>
      <c r="C30" s="173" t="s">
        <v>82</v>
      </c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  <c r="O30" s="139"/>
      <c r="P30" s="139"/>
      <c r="Q30" s="139"/>
      <c r="R30" s="139"/>
      <c r="S30" s="139"/>
    </row>
    <row r="31" spans="1:19">
      <c r="A31" s="139"/>
      <c r="B31" s="139"/>
      <c r="C31" s="173" t="s">
        <v>137</v>
      </c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  <c r="O31" s="139"/>
      <c r="P31" s="139"/>
      <c r="Q31" s="139"/>
      <c r="R31" s="139"/>
      <c r="S31" s="139"/>
    </row>
    <row r="32" spans="1:19">
      <c r="A32" s="139"/>
      <c r="B32" s="139"/>
      <c r="C32" s="139"/>
      <c r="D32" s="139"/>
      <c r="E32" s="139"/>
      <c r="F32" s="139"/>
      <c r="G32" s="139"/>
      <c r="H32" s="139"/>
      <c r="I32" s="139"/>
      <c r="J32" s="139"/>
      <c r="K32" s="139"/>
      <c r="L32" s="139"/>
      <c r="M32" s="139"/>
      <c r="N32" s="139"/>
      <c r="O32" s="139"/>
      <c r="P32" s="139"/>
      <c r="Q32" s="139"/>
      <c r="R32" s="139"/>
      <c r="S32" s="139"/>
    </row>
  </sheetData>
  <mergeCells count="1">
    <mergeCell ref="A9:A10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тарифи</vt:lpstr>
      <vt:lpstr>штатка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2020-10-19T12:07:49Z</dcterms:modified>
</cp:coreProperties>
</file>